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ivanovilyavl/Desktop/"/>
    </mc:Choice>
  </mc:AlternateContent>
  <xr:revisionPtr revIDLastSave="0" documentId="8_{71202F3C-EDF2-9147-9C73-E57D1734621F}" xr6:coauthVersionLast="47" xr6:coauthVersionMax="47" xr10:uidLastSave="{00000000-0000-0000-0000-000000000000}"/>
  <bookViews>
    <workbookView xWindow="0" yWindow="760" windowWidth="16380" windowHeight="8200" tabRatio="500" xr2:uid="{00000000-000D-0000-FFFF-FFFF00000000}"/>
  </bookViews>
  <sheets>
    <sheet name="README" sheetId="1" r:id="rId1"/>
    <sheet name="Допущения" sheetId="2" r:id="rId2"/>
    <sheet name="Unit-экономика" sheetId="3" r:id="rId3"/>
    <sheet name="Когортная модель" sheetId="4" r:id="rId4"/>
    <sheet name="Графики" sheetId="5" r:id="rId5"/>
    <sheet name="Сценарии" sheetId="6" r:id="rId6"/>
    <sheet name="Cash Flow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5" i="7" l="1"/>
  <c r="D55" i="7"/>
  <c r="C55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C10" i="7"/>
  <c r="C68" i="6"/>
  <c r="C69" i="6" s="1"/>
  <c r="D53" i="6"/>
  <c r="D51" i="6"/>
  <c r="E51" i="6" s="1"/>
  <c r="F51" i="6" s="1"/>
  <c r="G51" i="6" s="1"/>
  <c r="H51" i="6" s="1"/>
  <c r="I51" i="6" s="1"/>
  <c r="J51" i="6" s="1"/>
  <c r="K51" i="6" s="1"/>
  <c r="L51" i="6" s="1"/>
  <c r="M51" i="6" s="1"/>
  <c r="N51" i="6" s="1"/>
  <c r="O51" i="6" s="1"/>
  <c r="P51" i="6" s="1"/>
  <c r="Q51" i="6" s="1"/>
  <c r="R51" i="6" s="1"/>
  <c r="S51" i="6" s="1"/>
  <c r="T51" i="6" s="1"/>
  <c r="U51" i="6" s="1"/>
  <c r="V51" i="6" s="1"/>
  <c r="W51" i="6" s="1"/>
  <c r="X51" i="6" s="1"/>
  <c r="Y51" i="6" s="1"/>
  <c r="Z51" i="6" s="1"/>
  <c r="C51" i="6"/>
  <c r="C52" i="6" s="1"/>
  <c r="C34" i="6"/>
  <c r="C8" i="4"/>
  <c r="C33" i="4" s="1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D8" i="4" s="1"/>
  <c r="E8" i="4" s="1"/>
  <c r="C7" i="4"/>
  <c r="E27" i="3"/>
  <c r="D27" i="3"/>
  <c r="C27" i="3"/>
  <c r="E25" i="3"/>
  <c r="C25" i="3"/>
  <c r="E24" i="3"/>
  <c r="D24" i="3"/>
  <c r="D25" i="3" s="1"/>
  <c r="C24" i="3"/>
  <c r="E15" i="3"/>
  <c r="D15" i="3"/>
  <c r="E14" i="3"/>
  <c r="D14" i="3"/>
  <c r="C14" i="3"/>
  <c r="E9" i="3"/>
  <c r="D9" i="3"/>
  <c r="C9" i="3"/>
  <c r="E7" i="3"/>
  <c r="E16" i="3" s="1"/>
  <c r="D7" i="3"/>
  <c r="D10" i="3" s="1"/>
  <c r="C44" i="2"/>
  <c r="C8" i="3" s="1"/>
  <c r="C10" i="3" s="1"/>
  <c r="C25" i="2"/>
  <c r="C23" i="2"/>
  <c r="C11" i="2"/>
  <c r="C13" i="3" s="1"/>
  <c r="C92" i="5" l="1"/>
  <c r="D34" i="6"/>
  <c r="E34" i="6" s="1"/>
  <c r="F34" i="6" s="1"/>
  <c r="G34" i="6" s="1"/>
  <c r="H34" i="6" s="1"/>
  <c r="I34" i="6" s="1"/>
  <c r="J34" i="6" s="1"/>
  <c r="K34" i="6" s="1"/>
  <c r="L34" i="6" s="1"/>
  <c r="M34" i="6" s="1"/>
  <c r="N34" i="6" s="1"/>
  <c r="O34" i="6" s="1"/>
  <c r="P34" i="6" s="1"/>
  <c r="Q34" i="6" s="1"/>
  <c r="R34" i="6" s="1"/>
  <c r="S34" i="6" s="1"/>
  <c r="T34" i="6" s="1"/>
  <c r="U34" i="6" s="1"/>
  <c r="V34" i="6" s="1"/>
  <c r="W34" i="6" s="1"/>
  <c r="X34" i="6" s="1"/>
  <c r="Y34" i="6" s="1"/>
  <c r="Z34" i="6" s="1"/>
  <c r="C35" i="6"/>
  <c r="D55" i="6"/>
  <c r="D54" i="6"/>
  <c r="D68" i="6"/>
  <c r="E68" i="6" s="1"/>
  <c r="F68" i="6" s="1"/>
  <c r="G68" i="6" s="1"/>
  <c r="H68" i="6" s="1"/>
  <c r="I68" i="6" s="1"/>
  <c r="J68" i="6" s="1"/>
  <c r="K68" i="6" s="1"/>
  <c r="L68" i="6" s="1"/>
  <c r="M68" i="6" s="1"/>
  <c r="N68" i="6" s="1"/>
  <c r="O68" i="6" s="1"/>
  <c r="P68" i="6" s="1"/>
  <c r="Q68" i="6" s="1"/>
  <c r="R68" i="6" s="1"/>
  <c r="S68" i="6" s="1"/>
  <c r="T68" i="6" s="1"/>
  <c r="U68" i="6" s="1"/>
  <c r="V68" i="6" s="1"/>
  <c r="W68" i="6" s="1"/>
  <c r="X68" i="6" s="1"/>
  <c r="Y68" i="6" s="1"/>
  <c r="Z68" i="6" s="1"/>
  <c r="D16" i="3"/>
  <c r="F8" i="4"/>
  <c r="E33" i="4"/>
  <c r="D33" i="4"/>
  <c r="D70" i="6"/>
  <c r="D69" i="6"/>
  <c r="C70" i="6"/>
  <c r="C17" i="3"/>
  <c r="D91" i="5" s="1"/>
  <c r="E10" i="3"/>
  <c r="C91" i="5"/>
  <c r="C20" i="3"/>
  <c r="E13" i="3"/>
  <c r="E17" i="3" s="1"/>
  <c r="D93" i="5" s="1"/>
  <c r="D13" i="3"/>
  <c r="D17" i="3" s="1"/>
  <c r="D92" i="5" s="1"/>
  <c r="C9" i="4"/>
  <c r="D52" i="6"/>
  <c r="C53" i="6"/>
  <c r="E56" i="7"/>
  <c r="D56" i="7"/>
  <c r="C56" i="7"/>
  <c r="D30" i="7"/>
  <c r="C30" i="7"/>
  <c r="C31" i="7" s="1"/>
  <c r="C32" i="7" s="1"/>
  <c r="E70" i="6" l="1"/>
  <c r="E69" i="6"/>
  <c r="C20" i="7"/>
  <c r="E53" i="6"/>
  <c r="E52" i="6"/>
  <c r="E21" i="3"/>
  <c r="C93" i="5"/>
  <c r="E20" i="3"/>
  <c r="D20" i="3"/>
  <c r="C29" i="3"/>
  <c r="C26" i="3"/>
  <c r="C28" i="3" s="1"/>
  <c r="C21" i="3"/>
  <c r="E91" i="5"/>
  <c r="D72" i="6"/>
  <c r="D71" i="6"/>
  <c r="D36" i="6"/>
  <c r="D35" i="6"/>
  <c r="C36" i="6"/>
  <c r="C55" i="6"/>
  <c r="C57" i="6" s="1"/>
  <c r="D57" i="6" s="1"/>
  <c r="C54" i="6"/>
  <c r="C56" i="6" s="1"/>
  <c r="G8" i="4"/>
  <c r="F33" i="4"/>
  <c r="C27" i="4"/>
  <c r="C22" i="4"/>
  <c r="C10" i="4"/>
  <c r="D9" i="4"/>
  <c r="D10" i="4"/>
  <c r="C72" i="6"/>
  <c r="C74" i="6" s="1"/>
  <c r="C71" i="6"/>
  <c r="C73" i="6" s="1"/>
  <c r="C59" i="6" l="1"/>
  <c r="D56" i="6"/>
  <c r="C58" i="6"/>
  <c r="C60" i="6" s="1"/>
  <c r="C61" i="6"/>
  <c r="C12" i="4"/>
  <c r="C14" i="4" s="1"/>
  <c r="C11" i="4"/>
  <c r="C13" i="4" s="1"/>
  <c r="C38" i="6"/>
  <c r="C40" i="6" s="1"/>
  <c r="D40" i="6" s="1"/>
  <c r="C37" i="6"/>
  <c r="C39" i="6" s="1"/>
  <c r="E55" i="6"/>
  <c r="E57" i="6" s="1"/>
  <c r="E54" i="6"/>
  <c r="D37" i="6"/>
  <c r="D38" i="6"/>
  <c r="D74" i="6"/>
  <c r="E74" i="6" s="1"/>
  <c r="H8" i="4"/>
  <c r="G33" i="4"/>
  <c r="F53" i="6"/>
  <c r="F52" i="6"/>
  <c r="F70" i="6"/>
  <c r="F69" i="6"/>
  <c r="D11" i="4"/>
  <c r="D12" i="4"/>
  <c r="D27" i="4"/>
  <c r="E9" i="4"/>
  <c r="D22" i="4"/>
  <c r="E10" i="4"/>
  <c r="E36" i="6"/>
  <c r="E35" i="6"/>
  <c r="E92" i="5"/>
  <c r="D26" i="3"/>
  <c r="D28" i="3" s="1"/>
  <c r="D29" i="3"/>
  <c r="D21" i="3"/>
  <c r="D73" i="6"/>
  <c r="C76" i="6"/>
  <c r="C75" i="6"/>
  <c r="C77" i="6" s="1"/>
  <c r="E93" i="5"/>
  <c r="E26" i="3"/>
  <c r="E28" i="3" s="1"/>
  <c r="E29" i="3"/>
  <c r="E72" i="6"/>
  <c r="E71" i="6"/>
  <c r="C62" i="6" l="1"/>
  <c r="C79" i="6"/>
  <c r="C80" i="6" s="1"/>
  <c r="F74" i="6"/>
  <c r="F36" i="6"/>
  <c r="F35" i="6"/>
  <c r="F54" i="6"/>
  <c r="F55" i="6"/>
  <c r="F57" i="6" s="1"/>
  <c r="F71" i="6"/>
  <c r="F72" i="6"/>
  <c r="C28" i="4"/>
  <c r="C20" i="4"/>
  <c r="C16" i="4"/>
  <c r="C31" i="4" s="1"/>
  <c r="D13" i="4"/>
  <c r="C15" i="4"/>
  <c r="E27" i="4"/>
  <c r="F10" i="4"/>
  <c r="F9" i="4"/>
  <c r="E22" i="4"/>
  <c r="C78" i="6"/>
  <c r="E73" i="6"/>
  <c r="D77" i="6"/>
  <c r="D76" i="6"/>
  <c r="D78" i="6" s="1"/>
  <c r="D75" i="6"/>
  <c r="E37" i="6"/>
  <c r="E38" i="6"/>
  <c r="E40" i="6" s="1"/>
  <c r="E12" i="4"/>
  <c r="E11" i="4"/>
  <c r="H33" i="4"/>
  <c r="I8" i="4"/>
  <c r="C29" i="4"/>
  <c r="C21" i="4"/>
  <c r="D14" i="4"/>
  <c r="G52" i="6"/>
  <c r="G53" i="6"/>
  <c r="D59" i="6"/>
  <c r="E56" i="6"/>
  <c r="D58" i="6"/>
  <c r="D60" i="6" s="1"/>
  <c r="G70" i="6"/>
  <c r="G69" i="6"/>
  <c r="C42" i="6"/>
  <c r="D39" i="6"/>
  <c r="C44" i="6"/>
  <c r="C41" i="6"/>
  <c r="C43" i="6" s="1"/>
  <c r="C45" i="6" l="1"/>
  <c r="C46" i="6" s="1"/>
  <c r="F40" i="6"/>
  <c r="D79" i="6"/>
  <c r="H70" i="6"/>
  <c r="H69" i="6"/>
  <c r="E77" i="6"/>
  <c r="E76" i="6"/>
  <c r="F73" i="6"/>
  <c r="E75" i="6"/>
  <c r="E78" i="6" s="1"/>
  <c r="D28" i="4"/>
  <c r="D16" i="4"/>
  <c r="D31" i="4" s="1"/>
  <c r="D20" i="4"/>
  <c r="E13" i="4"/>
  <c r="D15" i="4"/>
  <c r="G72" i="6"/>
  <c r="G71" i="6"/>
  <c r="I33" i="4"/>
  <c r="J8" i="4"/>
  <c r="G74" i="6"/>
  <c r="G55" i="6"/>
  <c r="G57" i="6" s="1"/>
  <c r="G54" i="6"/>
  <c r="C30" i="4"/>
  <c r="C23" i="4"/>
  <c r="C24" i="4" s="1"/>
  <c r="C17" i="4"/>
  <c r="H53" i="6"/>
  <c r="H52" i="6"/>
  <c r="D80" i="6"/>
  <c r="D42" i="6"/>
  <c r="D43" i="6"/>
  <c r="D45" i="6" s="1"/>
  <c r="E39" i="6"/>
  <c r="D41" i="6"/>
  <c r="D44" i="6"/>
  <c r="D21" i="4"/>
  <c r="E14" i="4"/>
  <c r="D29" i="4"/>
  <c r="G10" i="4"/>
  <c r="G9" i="4"/>
  <c r="F27" i="4"/>
  <c r="F22" i="4"/>
  <c r="F56" i="6"/>
  <c r="E59" i="6"/>
  <c r="E58" i="6"/>
  <c r="E61" i="6" s="1"/>
  <c r="F11" i="4"/>
  <c r="F12" i="4"/>
  <c r="F38" i="6"/>
  <c r="F37" i="6"/>
  <c r="C32" i="4"/>
  <c r="D61" i="6"/>
  <c r="D62" i="6" s="1"/>
  <c r="E28" i="7" s="1"/>
  <c r="E31" i="7" s="1"/>
  <c r="C34" i="4"/>
  <c r="G35" i="6"/>
  <c r="G36" i="6"/>
  <c r="D28" i="7"/>
  <c r="D31" i="7" s="1"/>
  <c r="D32" i="7" s="1"/>
  <c r="C63" i="6"/>
  <c r="C38" i="4" l="1"/>
  <c r="C37" i="4"/>
  <c r="C39" i="4" s="1"/>
  <c r="G38" i="6"/>
  <c r="G40" i="6" s="1"/>
  <c r="G37" i="6"/>
  <c r="I53" i="6"/>
  <c r="I52" i="6"/>
  <c r="D30" i="4"/>
  <c r="D23" i="4"/>
  <c r="D24" i="4" s="1"/>
  <c r="D17" i="4"/>
  <c r="H36" i="6"/>
  <c r="H35" i="6"/>
  <c r="E28" i="4"/>
  <c r="E16" i="4"/>
  <c r="E31" i="4" s="1"/>
  <c r="F13" i="4"/>
  <c r="E20" i="4"/>
  <c r="E15" i="4"/>
  <c r="E79" i="6"/>
  <c r="E80" i="6" s="1"/>
  <c r="H10" i="4"/>
  <c r="H9" i="4"/>
  <c r="G27" i="4"/>
  <c r="G22" i="4"/>
  <c r="E60" i="6"/>
  <c r="H74" i="6"/>
  <c r="H54" i="6"/>
  <c r="H55" i="6"/>
  <c r="H57" i="6" s="1"/>
  <c r="K8" i="4"/>
  <c r="J33" i="4"/>
  <c r="D32" i="4"/>
  <c r="I69" i="6"/>
  <c r="I70" i="6"/>
  <c r="F39" i="6"/>
  <c r="E42" i="6"/>
  <c r="E41" i="6"/>
  <c r="E43" i="6" s="1"/>
  <c r="H72" i="6"/>
  <c r="H71" i="6"/>
  <c r="C28" i="6"/>
  <c r="D46" i="6"/>
  <c r="D34" i="4"/>
  <c r="G12" i="4"/>
  <c r="G11" i="4"/>
  <c r="D63" i="6"/>
  <c r="E32" i="7"/>
  <c r="G56" i="6"/>
  <c r="F60" i="6"/>
  <c r="F59" i="6"/>
  <c r="F61" i="6"/>
  <c r="F58" i="6"/>
  <c r="E29" i="4"/>
  <c r="F14" i="4"/>
  <c r="E21" i="4"/>
  <c r="G73" i="6"/>
  <c r="F76" i="6"/>
  <c r="F75" i="6"/>
  <c r="F77" i="6" s="1"/>
  <c r="D37" i="4" l="1"/>
  <c r="D38" i="4"/>
  <c r="E45" i="6"/>
  <c r="E28" i="6"/>
  <c r="G14" i="4"/>
  <c r="F29" i="4"/>
  <c r="F21" i="4"/>
  <c r="F78" i="6"/>
  <c r="F79" i="6" s="1"/>
  <c r="F80" i="6" s="1"/>
  <c r="E62" i="6"/>
  <c r="F28" i="7" s="1"/>
  <c r="F31" i="7" s="1"/>
  <c r="F32" i="7" s="1"/>
  <c r="E17" i="4"/>
  <c r="E23" i="4"/>
  <c r="E24" i="4" s="1"/>
  <c r="E30" i="4"/>
  <c r="I71" i="6"/>
  <c r="I72" i="6"/>
  <c r="I74" i="6" s="1"/>
  <c r="I36" i="6"/>
  <c r="I35" i="6"/>
  <c r="E44" i="6"/>
  <c r="J70" i="6"/>
  <c r="J69" i="6"/>
  <c r="H38" i="6"/>
  <c r="H40" i="6" s="1"/>
  <c r="H37" i="6"/>
  <c r="I54" i="6"/>
  <c r="I55" i="6"/>
  <c r="I57" i="6" s="1"/>
  <c r="E46" i="6"/>
  <c r="E32" i="4"/>
  <c r="F43" i="6"/>
  <c r="F42" i="6"/>
  <c r="G39" i="6"/>
  <c r="F41" i="6"/>
  <c r="F44" i="6" s="1"/>
  <c r="G13" i="4"/>
  <c r="F28" i="4"/>
  <c r="F16" i="4"/>
  <c r="F31" i="4" s="1"/>
  <c r="F20" i="4"/>
  <c r="F15" i="4"/>
  <c r="G76" i="6"/>
  <c r="H73" i="6"/>
  <c r="G78" i="6"/>
  <c r="G75" i="6"/>
  <c r="G77" i="6" s="1"/>
  <c r="E63" i="6"/>
  <c r="F63" i="6" s="1"/>
  <c r="D28" i="6"/>
  <c r="D39" i="4"/>
  <c r="F62" i="6"/>
  <c r="G28" i="7" s="1"/>
  <c r="G31" i="7" s="1"/>
  <c r="K33" i="4"/>
  <c r="L8" i="4"/>
  <c r="H27" i="4"/>
  <c r="H22" i="4"/>
  <c r="I9" i="4"/>
  <c r="I10" i="4"/>
  <c r="E34" i="4"/>
  <c r="G60" i="6"/>
  <c r="G62" i="6" s="1"/>
  <c r="H28" i="7" s="1"/>
  <c r="H31" i="7" s="1"/>
  <c r="G59" i="6"/>
  <c r="H56" i="6"/>
  <c r="G61" i="6"/>
  <c r="G58" i="6"/>
  <c r="H12" i="4"/>
  <c r="H11" i="4"/>
  <c r="J53" i="6"/>
  <c r="J52" i="6"/>
  <c r="G79" i="6" l="1"/>
  <c r="G80" i="6" s="1"/>
  <c r="J57" i="6"/>
  <c r="E37" i="4"/>
  <c r="E38" i="4"/>
  <c r="G32" i="7"/>
  <c r="H32" i="7" s="1"/>
  <c r="K52" i="6"/>
  <c r="K53" i="6"/>
  <c r="F32" i="4"/>
  <c r="F45" i="6"/>
  <c r="F46" i="6" s="1"/>
  <c r="H59" i="6"/>
  <c r="I56" i="6"/>
  <c r="H58" i="6"/>
  <c r="H60" i="6" s="1"/>
  <c r="G63" i="6"/>
  <c r="J35" i="6"/>
  <c r="J36" i="6"/>
  <c r="H14" i="4"/>
  <c r="G29" i="4"/>
  <c r="G21" i="4"/>
  <c r="L33" i="4"/>
  <c r="M8" i="4"/>
  <c r="I38" i="6"/>
  <c r="I40" i="6" s="1"/>
  <c r="I37" i="6"/>
  <c r="E39" i="4"/>
  <c r="H13" i="4"/>
  <c r="G28" i="4"/>
  <c r="G20" i="4"/>
  <c r="G16" i="4"/>
  <c r="G31" i="4" s="1"/>
  <c r="G15" i="4"/>
  <c r="K69" i="6"/>
  <c r="K70" i="6"/>
  <c r="J55" i="6"/>
  <c r="J54" i="6"/>
  <c r="H76" i="6"/>
  <c r="I73" i="6"/>
  <c r="H77" i="6"/>
  <c r="H75" i="6"/>
  <c r="H78" i="6" s="1"/>
  <c r="J72" i="6"/>
  <c r="J74" i="6" s="1"/>
  <c r="J71" i="6"/>
  <c r="I11" i="4"/>
  <c r="I12" i="4"/>
  <c r="J10" i="4"/>
  <c r="I27" i="4"/>
  <c r="J9" i="4"/>
  <c r="I22" i="4"/>
  <c r="H39" i="6"/>
  <c r="G42" i="6"/>
  <c r="G41" i="6"/>
  <c r="G43" i="6" s="1"/>
  <c r="G44" i="6"/>
  <c r="F17" i="4"/>
  <c r="F30" i="4"/>
  <c r="F34" i="4" s="1"/>
  <c r="F23" i="4"/>
  <c r="F24" i="4" s="1"/>
  <c r="G45" i="6" l="1"/>
  <c r="K74" i="6"/>
  <c r="J40" i="6"/>
  <c r="F37" i="4"/>
  <c r="F38" i="4" s="1"/>
  <c r="G46" i="6"/>
  <c r="H80" i="6"/>
  <c r="J38" i="6"/>
  <c r="J37" i="6"/>
  <c r="K10" i="4"/>
  <c r="K9" i="4"/>
  <c r="J22" i="4"/>
  <c r="J27" i="4"/>
  <c r="K72" i="6"/>
  <c r="K71" i="6"/>
  <c r="G32" i="4"/>
  <c r="K35" i="6"/>
  <c r="K36" i="6"/>
  <c r="L70" i="6"/>
  <c r="L69" i="6"/>
  <c r="M33" i="4"/>
  <c r="N8" i="4"/>
  <c r="H79" i="6"/>
  <c r="H28" i="4"/>
  <c r="H20" i="4"/>
  <c r="H16" i="4"/>
  <c r="H31" i="4" s="1"/>
  <c r="I13" i="4"/>
  <c r="H15" i="4"/>
  <c r="H29" i="4"/>
  <c r="H21" i="4"/>
  <c r="I14" i="4"/>
  <c r="J11" i="4"/>
  <c r="J12" i="4"/>
  <c r="J73" i="6"/>
  <c r="I76" i="6"/>
  <c r="I78" i="6" s="1"/>
  <c r="I77" i="6"/>
  <c r="I75" i="6"/>
  <c r="K55" i="6"/>
  <c r="K57" i="6" s="1"/>
  <c r="K54" i="6"/>
  <c r="F39" i="4"/>
  <c r="H61" i="6"/>
  <c r="H62" i="6" s="1"/>
  <c r="L52" i="6"/>
  <c r="L53" i="6"/>
  <c r="J56" i="6"/>
  <c r="I60" i="6"/>
  <c r="I59" i="6"/>
  <c r="I58" i="6"/>
  <c r="I61" i="6" s="1"/>
  <c r="I39" i="6"/>
  <c r="H42" i="6"/>
  <c r="H41" i="6"/>
  <c r="H43" i="6" s="1"/>
  <c r="H45" i="6" s="1"/>
  <c r="H44" i="6"/>
  <c r="G30" i="4"/>
  <c r="G34" i="4" s="1"/>
  <c r="G23" i="4"/>
  <c r="G24" i="4" s="1"/>
  <c r="G17" i="4"/>
  <c r="I28" i="7" l="1"/>
  <c r="I31" i="7" s="1"/>
  <c r="I32" i="7" s="1"/>
  <c r="H63" i="6"/>
  <c r="G37" i="4"/>
  <c r="G38" i="4" s="1"/>
  <c r="L57" i="6"/>
  <c r="H30" i="4"/>
  <c r="H23" i="4"/>
  <c r="H17" i="4"/>
  <c r="I80" i="6"/>
  <c r="I79" i="6"/>
  <c r="M52" i="6"/>
  <c r="M53" i="6"/>
  <c r="L71" i="6"/>
  <c r="L72" i="6"/>
  <c r="J76" i="6"/>
  <c r="K73" i="6"/>
  <c r="J78" i="6"/>
  <c r="J75" i="6"/>
  <c r="J77" i="6" s="1"/>
  <c r="J79" i="6" s="1"/>
  <c r="I62" i="6"/>
  <c r="J28" i="7" s="1"/>
  <c r="J31" i="7" s="1"/>
  <c r="O8" i="4"/>
  <c r="N33" i="4"/>
  <c r="L36" i="6"/>
  <c r="L35" i="6"/>
  <c r="L74" i="6"/>
  <c r="I29" i="4"/>
  <c r="I21" i="4"/>
  <c r="J14" i="4"/>
  <c r="L55" i="6"/>
  <c r="L54" i="6"/>
  <c r="H34" i="4"/>
  <c r="K12" i="4"/>
  <c r="K11" i="4"/>
  <c r="K38" i="6"/>
  <c r="K40" i="6" s="1"/>
  <c r="K37" i="6"/>
  <c r="I20" i="4"/>
  <c r="J13" i="4"/>
  <c r="I16" i="4"/>
  <c r="I31" i="4" s="1"/>
  <c r="I28" i="4"/>
  <c r="I15" i="4"/>
  <c r="J59" i="6"/>
  <c r="K56" i="6"/>
  <c r="J58" i="6"/>
  <c r="J61" i="6" s="1"/>
  <c r="H46" i="6"/>
  <c r="H32" i="4"/>
  <c r="H24" i="4"/>
  <c r="K27" i="4"/>
  <c r="K22" i="4"/>
  <c r="L9" i="4"/>
  <c r="L10" i="4"/>
  <c r="M70" i="6"/>
  <c r="M69" i="6"/>
  <c r="J39" i="6"/>
  <c r="I43" i="6"/>
  <c r="I45" i="6" s="1"/>
  <c r="I42" i="6"/>
  <c r="I41" i="6"/>
  <c r="I44" i="6"/>
  <c r="L22" i="4" l="1"/>
  <c r="M9" i="4"/>
  <c r="M10" i="4"/>
  <c r="L27" i="4"/>
  <c r="L38" i="6"/>
  <c r="L40" i="6" s="1"/>
  <c r="L37" i="6"/>
  <c r="K76" i="6"/>
  <c r="L73" i="6"/>
  <c r="K75" i="6"/>
  <c r="K77" i="6" s="1"/>
  <c r="K79" i="6" s="1"/>
  <c r="K78" i="6"/>
  <c r="J60" i="6"/>
  <c r="J62" i="6" s="1"/>
  <c r="K28" i="7" s="1"/>
  <c r="K31" i="7" s="1"/>
  <c r="G39" i="4"/>
  <c r="K14" i="4"/>
  <c r="J21" i="4"/>
  <c r="J29" i="4"/>
  <c r="H37" i="4"/>
  <c r="H38" i="4" s="1"/>
  <c r="P8" i="4"/>
  <c r="O33" i="4"/>
  <c r="M36" i="6"/>
  <c r="M35" i="6"/>
  <c r="N70" i="6"/>
  <c r="N69" i="6"/>
  <c r="M55" i="6"/>
  <c r="M54" i="6"/>
  <c r="I46" i="6"/>
  <c r="I17" i="4"/>
  <c r="I30" i="4"/>
  <c r="I34" i="4" s="1"/>
  <c r="I23" i="4"/>
  <c r="I24" i="4" s="1"/>
  <c r="M74" i="6"/>
  <c r="M57" i="6"/>
  <c r="N53" i="6"/>
  <c r="N52" i="6"/>
  <c r="K60" i="6"/>
  <c r="K59" i="6"/>
  <c r="L56" i="6"/>
  <c r="K58" i="6"/>
  <c r="K61" i="6" s="1"/>
  <c r="K13" i="4"/>
  <c r="J20" i="4"/>
  <c r="J28" i="4"/>
  <c r="J16" i="4"/>
  <c r="J31" i="4" s="1"/>
  <c r="J15" i="4"/>
  <c r="I63" i="6"/>
  <c r="J63" i="6" s="1"/>
  <c r="M72" i="6"/>
  <c r="M71" i="6"/>
  <c r="L11" i="4"/>
  <c r="L12" i="4"/>
  <c r="K39" i="6"/>
  <c r="J43" i="6"/>
  <c r="J42" i="6"/>
  <c r="J44" i="6"/>
  <c r="J41" i="6"/>
  <c r="I32" i="4"/>
  <c r="J80" i="6"/>
  <c r="J32" i="7"/>
  <c r="K32" i="7" s="1"/>
  <c r="I37" i="4" l="1"/>
  <c r="I38" i="4"/>
  <c r="J45" i="6"/>
  <c r="L32" i="7"/>
  <c r="K43" i="6"/>
  <c r="K42" i="6"/>
  <c r="L39" i="6"/>
  <c r="K41" i="6"/>
  <c r="K44" i="6" s="1"/>
  <c r="K63" i="6"/>
  <c r="L59" i="6"/>
  <c r="L61" i="6" s="1"/>
  <c r="L60" i="6"/>
  <c r="M56" i="6"/>
  <c r="L58" i="6"/>
  <c r="O70" i="6"/>
  <c r="O69" i="6"/>
  <c r="N71" i="6"/>
  <c r="N72" i="6"/>
  <c r="N74" i="6" s="1"/>
  <c r="P33" i="4"/>
  <c r="Q8" i="4"/>
  <c r="K62" i="6"/>
  <c r="L28" i="7" s="1"/>
  <c r="L31" i="7" s="1"/>
  <c r="K80" i="6"/>
  <c r="J34" i="4"/>
  <c r="O53" i="6"/>
  <c r="O52" i="6"/>
  <c r="M12" i="4"/>
  <c r="M11" i="4"/>
  <c r="J30" i="4"/>
  <c r="J17" i="4"/>
  <c r="J23" i="4"/>
  <c r="J24" i="4" s="1"/>
  <c r="M73" i="6"/>
  <c r="L76" i="6"/>
  <c r="L75" i="6"/>
  <c r="L77" i="6" s="1"/>
  <c r="M22" i="4"/>
  <c r="N10" i="4"/>
  <c r="M27" i="4"/>
  <c r="N9" i="4"/>
  <c r="K28" i="4"/>
  <c r="K20" i="4"/>
  <c r="K16" i="4"/>
  <c r="K31" i="4" s="1"/>
  <c r="L13" i="4"/>
  <c r="K15" i="4"/>
  <c r="J46" i="6"/>
  <c r="J32" i="4"/>
  <c r="N55" i="6"/>
  <c r="N54" i="6"/>
  <c r="N35" i="6"/>
  <c r="N36" i="6"/>
  <c r="M37" i="6"/>
  <c r="M38" i="6"/>
  <c r="M40" i="6" s="1"/>
  <c r="K29" i="4"/>
  <c r="K21" i="4"/>
  <c r="L14" i="4"/>
  <c r="N57" i="6"/>
  <c r="H39" i="4"/>
  <c r="I39" i="4" s="1"/>
  <c r="J37" i="4" l="1"/>
  <c r="J38" i="4"/>
  <c r="N40" i="6"/>
  <c r="O74" i="6"/>
  <c r="O10" i="4"/>
  <c r="O9" i="4"/>
  <c r="N27" i="4"/>
  <c r="N22" i="4"/>
  <c r="P53" i="6"/>
  <c r="P52" i="6"/>
  <c r="M59" i="6"/>
  <c r="N56" i="6"/>
  <c r="M58" i="6"/>
  <c r="M61" i="6" s="1"/>
  <c r="M13" i="4"/>
  <c r="L28" i="4"/>
  <c r="L16" i="4"/>
  <c r="L31" i="4" s="1"/>
  <c r="L20" i="4"/>
  <c r="L15" i="4"/>
  <c r="L43" i="6"/>
  <c r="M39" i="6"/>
  <c r="L42" i="6"/>
  <c r="L44" i="6"/>
  <c r="L41" i="6"/>
  <c r="M76" i="6"/>
  <c r="N73" i="6"/>
  <c r="M75" i="6"/>
  <c r="M78" i="6" s="1"/>
  <c r="O55" i="6"/>
  <c r="O54" i="6"/>
  <c r="N38" i="6"/>
  <c r="N37" i="6"/>
  <c r="L21" i="4"/>
  <c r="M14" i="4"/>
  <c r="L29" i="4"/>
  <c r="L78" i="6"/>
  <c r="L79" i="6" s="1"/>
  <c r="L80" i="6" s="1"/>
  <c r="O72" i="6"/>
  <c r="O71" i="6"/>
  <c r="K45" i="6"/>
  <c r="K46" i="6" s="1"/>
  <c r="J39" i="4"/>
  <c r="O35" i="6"/>
  <c r="O36" i="6"/>
  <c r="K30" i="4"/>
  <c r="K23" i="4"/>
  <c r="K17" i="4"/>
  <c r="N11" i="4"/>
  <c r="N12" i="4"/>
  <c r="L62" i="6"/>
  <c r="M28" i="7" s="1"/>
  <c r="M31" i="7" s="1"/>
  <c r="M32" i="7" s="1"/>
  <c r="O57" i="6"/>
  <c r="P69" i="6"/>
  <c r="P70" i="6"/>
  <c r="K32" i="4"/>
  <c r="K24" i="4"/>
  <c r="K34" i="4"/>
  <c r="R8" i="4"/>
  <c r="Q33" i="4"/>
  <c r="M80" i="6" l="1"/>
  <c r="P57" i="6"/>
  <c r="P36" i="6"/>
  <c r="P35" i="6"/>
  <c r="K38" i="4"/>
  <c r="K37" i="4"/>
  <c r="N14" i="4"/>
  <c r="M29" i="4"/>
  <c r="M21" i="4"/>
  <c r="Q53" i="6"/>
  <c r="Q52" i="6"/>
  <c r="P72" i="6"/>
  <c r="P71" i="6"/>
  <c r="K39" i="4"/>
  <c r="S8" i="4"/>
  <c r="R33" i="4"/>
  <c r="O38" i="6"/>
  <c r="O37" i="6"/>
  <c r="M77" i="6"/>
  <c r="M79" i="6" s="1"/>
  <c r="M60" i="6"/>
  <c r="M62" i="6" s="1"/>
  <c r="N28" i="7" s="1"/>
  <c r="N31" i="7" s="1"/>
  <c r="N32" i="7" s="1"/>
  <c r="P10" i="4"/>
  <c r="P9" i="4"/>
  <c r="O27" i="4"/>
  <c r="O22" i="4"/>
  <c r="N13" i="4"/>
  <c r="M20" i="4"/>
  <c r="M16" i="4"/>
  <c r="M31" i="4" s="1"/>
  <c r="M28" i="4"/>
  <c r="M15" i="4"/>
  <c r="P55" i="6"/>
  <c r="P54" i="6"/>
  <c r="N39" i="6"/>
  <c r="M42" i="6"/>
  <c r="M41" i="6"/>
  <c r="M43" i="6" s="1"/>
  <c r="M45" i="6" s="1"/>
  <c r="M44" i="6"/>
  <c r="Q70" i="6"/>
  <c r="Q69" i="6"/>
  <c r="L45" i="6"/>
  <c r="L46" i="6" s="1"/>
  <c r="M46" i="6" s="1"/>
  <c r="O73" i="6"/>
  <c r="N76" i="6"/>
  <c r="N77" i="6"/>
  <c r="N78" i="6"/>
  <c r="N75" i="6"/>
  <c r="L23" i="4"/>
  <c r="L17" i="4"/>
  <c r="L30" i="4"/>
  <c r="N60" i="6"/>
  <c r="O56" i="6"/>
  <c r="N59" i="6"/>
  <c r="N61" i="6"/>
  <c r="N58" i="6"/>
  <c r="O12" i="4"/>
  <c r="O11" i="4"/>
  <c r="P74" i="6"/>
  <c r="O40" i="6"/>
  <c r="L63" i="6"/>
  <c r="M63" i="6" s="1"/>
  <c r="L32" i="4"/>
  <c r="L34" i="4" s="1"/>
  <c r="L24" i="4"/>
  <c r="Q71" i="6" l="1"/>
  <c r="Q72" i="6"/>
  <c r="Q74" i="6" s="1"/>
  <c r="M23" i="4"/>
  <c r="M24" i="4" s="1"/>
  <c r="M17" i="4"/>
  <c r="M30" i="4"/>
  <c r="P37" i="6"/>
  <c r="P38" i="6"/>
  <c r="N79" i="6"/>
  <c r="E23" i="6"/>
  <c r="L37" i="4"/>
  <c r="L38" i="4" s="1"/>
  <c r="P12" i="4"/>
  <c r="P11" i="4"/>
  <c r="P56" i="6"/>
  <c r="O59" i="6"/>
  <c r="O58" i="6"/>
  <c r="O60" i="6" s="1"/>
  <c r="R70" i="6"/>
  <c r="R69" i="6"/>
  <c r="R53" i="6"/>
  <c r="R52" i="6"/>
  <c r="Q54" i="6"/>
  <c r="Q55" i="6"/>
  <c r="Q36" i="6"/>
  <c r="Q35" i="6"/>
  <c r="P27" i="4"/>
  <c r="P22" i="4"/>
  <c r="Q9" i="4"/>
  <c r="Q10" i="4"/>
  <c r="P40" i="6"/>
  <c r="O77" i="6"/>
  <c r="O76" i="6"/>
  <c r="P73" i="6"/>
  <c r="O78" i="6"/>
  <c r="O75" i="6"/>
  <c r="N80" i="6"/>
  <c r="O13" i="4"/>
  <c r="N20" i="4"/>
  <c r="N28" i="4"/>
  <c r="N16" i="4"/>
  <c r="N31" i="4" s="1"/>
  <c r="N15" i="4"/>
  <c r="S33" i="4"/>
  <c r="T8" i="4"/>
  <c r="Q57" i="6"/>
  <c r="N62" i="6"/>
  <c r="O28" i="7" s="1"/>
  <c r="O31" i="7" s="1"/>
  <c r="O32" i="7" s="1"/>
  <c r="D23" i="6"/>
  <c r="M32" i="4"/>
  <c r="M34" i="4" s="1"/>
  <c r="O14" i="4"/>
  <c r="N21" i="4"/>
  <c r="N29" i="4"/>
  <c r="N43" i="6"/>
  <c r="N42" i="6"/>
  <c r="O39" i="6"/>
  <c r="N44" i="6"/>
  <c r="N41" i="6"/>
  <c r="M37" i="4" l="1"/>
  <c r="M38" i="4" s="1"/>
  <c r="R74" i="6"/>
  <c r="O61" i="6"/>
  <c r="O62" i="6" s="1"/>
  <c r="P28" i="7" s="1"/>
  <c r="P31" i="7" s="1"/>
  <c r="P32" i="7" s="1"/>
  <c r="T33" i="4"/>
  <c r="U8" i="4"/>
  <c r="Q27" i="4"/>
  <c r="R9" i="4"/>
  <c r="Q22" i="4"/>
  <c r="R10" i="4"/>
  <c r="Q73" i="6"/>
  <c r="P76" i="6"/>
  <c r="P78" i="6"/>
  <c r="P75" i="6"/>
  <c r="P77" i="6" s="1"/>
  <c r="N45" i="6"/>
  <c r="N46" i="6" s="1"/>
  <c r="C23" i="6"/>
  <c r="O79" i="6"/>
  <c r="O80" i="6" s="1"/>
  <c r="S53" i="6"/>
  <c r="S52" i="6"/>
  <c r="N63" i="6"/>
  <c r="P14" i="4"/>
  <c r="O29" i="4"/>
  <c r="O21" i="4"/>
  <c r="S69" i="6"/>
  <c r="S70" i="6"/>
  <c r="R72" i="6"/>
  <c r="R71" i="6"/>
  <c r="N32" i="4"/>
  <c r="L39" i="4"/>
  <c r="P13" i="4"/>
  <c r="O28" i="4"/>
  <c r="O20" i="4"/>
  <c r="O16" i="4"/>
  <c r="O31" i="4" s="1"/>
  <c r="O15" i="4"/>
  <c r="R36" i="6"/>
  <c r="R35" i="6"/>
  <c r="R55" i="6"/>
  <c r="R57" i="6" s="1"/>
  <c r="R54" i="6"/>
  <c r="P60" i="6"/>
  <c r="P59" i="6"/>
  <c r="Q56" i="6"/>
  <c r="P58" i="6"/>
  <c r="P61" i="6"/>
  <c r="N23" i="4"/>
  <c r="N24" i="4" s="1"/>
  <c r="N30" i="4"/>
  <c r="N34" i="4" s="1"/>
  <c r="N17" i="4"/>
  <c r="O42" i="6"/>
  <c r="P39" i="6"/>
  <c r="O41" i="6"/>
  <c r="O43" i="6" s="1"/>
  <c r="Q11" i="4"/>
  <c r="Q12" i="4"/>
  <c r="Q38" i="6"/>
  <c r="Q40" i="6" s="1"/>
  <c r="Q37" i="6"/>
  <c r="P79" i="6" l="1"/>
  <c r="P80" i="6" s="1"/>
  <c r="S57" i="6"/>
  <c r="N37" i="4"/>
  <c r="N38" i="4" s="1"/>
  <c r="O63" i="6"/>
  <c r="P62" i="6"/>
  <c r="Q28" i="7" s="1"/>
  <c r="Q31" i="7" s="1"/>
  <c r="Q32" i="7" s="1"/>
  <c r="O30" i="4"/>
  <c r="O34" i="4" s="1"/>
  <c r="O23" i="4"/>
  <c r="O17" i="4"/>
  <c r="R73" i="6"/>
  <c r="Q76" i="6"/>
  <c r="Q75" i="6"/>
  <c r="Q77" i="6" s="1"/>
  <c r="Q78" i="6"/>
  <c r="P29" i="4"/>
  <c r="P21" i="4"/>
  <c r="Q14" i="4"/>
  <c r="R12" i="4"/>
  <c r="R11" i="4"/>
  <c r="T70" i="6"/>
  <c r="T69" i="6"/>
  <c r="T52" i="6"/>
  <c r="T53" i="6"/>
  <c r="S10" i="4"/>
  <c r="S9" i="4"/>
  <c r="R27" i="4"/>
  <c r="R22" i="4"/>
  <c r="O32" i="4"/>
  <c r="O24" i="4"/>
  <c r="S71" i="6"/>
  <c r="S72" i="6"/>
  <c r="S74" i="6" s="1"/>
  <c r="R38" i="6"/>
  <c r="R40" i="6" s="1"/>
  <c r="R37" i="6"/>
  <c r="M39" i="4"/>
  <c r="V8" i="4"/>
  <c r="U33" i="4"/>
  <c r="S35" i="6"/>
  <c r="S36" i="6"/>
  <c r="P28" i="4"/>
  <c r="P20" i="4"/>
  <c r="P16" i="4"/>
  <c r="P31" i="4" s="1"/>
  <c r="Q13" i="4"/>
  <c r="P15" i="4"/>
  <c r="S54" i="6"/>
  <c r="S55" i="6"/>
  <c r="O44" i="6"/>
  <c r="O45" i="6" s="1"/>
  <c r="O46" i="6" s="1"/>
  <c r="R56" i="6"/>
  <c r="Q59" i="6"/>
  <c r="Q58" i="6"/>
  <c r="Q60" i="6" s="1"/>
  <c r="Q61" i="6"/>
  <c r="P42" i="6"/>
  <c r="P44" i="6" s="1"/>
  <c r="P43" i="6"/>
  <c r="Q39" i="6"/>
  <c r="P41" i="6"/>
  <c r="Q62" i="6" l="1"/>
  <c r="R28" i="7" s="1"/>
  <c r="R31" i="7" s="1"/>
  <c r="T74" i="6"/>
  <c r="R32" i="7"/>
  <c r="P46" i="6"/>
  <c r="Q79" i="6"/>
  <c r="Q80" i="6" s="1"/>
  <c r="Q28" i="4"/>
  <c r="Q16" i="4"/>
  <c r="Q31" i="4" s="1"/>
  <c r="R13" i="4"/>
  <c r="Q20" i="4"/>
  <c r="Q15" i="4"/>
  <c r="S38" i="6"/>
  <c r="S40" i="6" s="1"/>
  <c r="S37" i="6"/>
  <c r="U52" i="6"/>
  <c r="U53" i="6"/>
  <c r="Q21" i="4"/>
  <c r="R14" i="4"/>
  <c r="Q29" i="4"/>
  <c r="S12" i="4"/>
  <c r="S11" i="4"/>
  <c r="T72" i="6"/>
  <c r="T71" i="6"/>
  <c r="R39" i="6"/>
  <c r="Q42" i="6"/>
  <c r="Q41" i="6"/>
  <c r="Q43" i="6" s="1"/>
  <c r="P45" i="6"/>
  <c r="T36" i="6"/>
  <c r="T35" i="6"/>
  <c r="U70" i="6"/>
  <c r="U69" i="6"/>
  <c r="S27" i="4"/>
  <c r="S22" i="4"/>
  <c r="T9" i="4"/>
  <c r="T10" i="4"/>
  <c r="T57" i="6"/>
  <c r="T55" i="6"/>
  <c r="T54" i="6"/>
  <c r="P30" i="4"/>
  <c r="P34" i="4" s="1"/>
  <c r="P23" i="4"/>
  <c r="P24" i="4" s="1"/>
  <c r="P17" i="4"/>
  <c r="O37" i="4"/>
  <c r="O38" i="4" s="1"/>
  <c r="P63" i="6"/>
  <c r="Q63" i="6" s="1"/>
  <c r="P32" i="4"/>
  <c r="W8" i="4"/>
  <c r="V33" i="4"/>
  <c r="R59" i="6"/>
  <c r="S56" i="6"/>
  <c r="R58" i="6"/>
  <c r="R61" i="6" s="1"/>
  <c r="N39" i="4"/>
  <c r="R76" i="6"/>
  <c r="S73" i="6"/>
  <c r="R75" i="6"/>
  <c r="R78" i="6" s="1"/>
  <c r="P37" i="4" l="1"/>
  <c r="P38" i="4" s="1"/>
  <c r="Q45" i="6"/>
  <c r="Q46" i="6" s="1"/>
  <c r="Q44" i="6"/>
  <c r="T56" i="6"/>
  <c r="S59" i="6"/>
  <c r="S58" i="6"/>
  <c r="S60" i="6" s="1"/>
  <c r="T11" i="4"/>
  <c r="T12" i="4"/>
  <c r="U72" i="6"/>
  <c r="U71" i="6"/>
  <c r="T73" i="6"/>
  <c r="S76" i="6"/>
  <c r="S75" i="6"/>
  <c r="S77" i="6" s="1"/>
  <c r="U9" i="4"/>
  <c r="U10" i="4"/>
  <c r="T22" i="4"/>
  <c r="T27" i="4"/>
  <c r="S14" i="4"/>
  <c r="R29" i="4"/>
  <c r="R21" i="4"/>
  <c r="Q17" i="4"/>
  <c r="Q23" i="4"/>
  <c r="Q30" i="4"/>
  <c r="V69" i="6"/>
  <c r="V70" i="6"/>
  <c r="R60" i="6"/>
  <c r="U35" i="6"/>
  <c r="U36" i="6"/>
  <c r="Q24" i="4"/>
  <c r="Q32" i="4"/>
  <c r="R77" i="6"/>
  <c r="S13" i="4"/>
  <c r="R28" i="4"/>
  <c r="R16" i="4"/>
  <c r="R31" i="4" s="1"/>
  <c r="R20" i="4"/>
  <c r="R15" i="4"/>
  <c r="T37" i="6"/>
  <c r="T38" i="6"/>
  <c r="T40" i="6" s="1"/>
  <c r="S39" i="6"/>
  <c r="R42" i="6"/>
  <c r="R41" i="6"/>
  <c r="R43" i="6" s="1"/>
  <c r="U55" i="6"/>
  <c r="U57" i="6" s="1"/>
  <c r="U54" i="6"/>
  <c r="U74" i="6"/>
  <c r="O39" i="4"/>
  <c r="P39" i="4" s="1"/>
  <c r="X8" i="4"/>
  <c r="W33" i="4"/>
  <c r="Q34" i="4"/>
  <c r="V53" i="6"/>
  <c r="V52" i="6"/>
  <c r="S79" i="6" l="1"/>
  <c r="W53" i="6"/>
  <c r="W52" i="6"/>
  <c r="R34" i="4"/>
  <c r="S28" i="4"/>
  <c r="S20" i="4"/>
  <c r="S16" i="4"/>
  <c r="S31" i="4" s="1"/>
  <c r="T13" i="4"/>
  <c r="S15" i="4"/>
  <c r="R62" i="6"/>
  <c r="U11" i="4"/>
  <c r="U12" i="4"/>
  <c r="Q37" i="4"/>
  <c r="Q38" i="4"/>
  <c r="Q39" i="4"/>
  <c r="S42" i="6"/>
  <c r="T39" i="6"/>
  <c r="S41" i="6"/>
  <c r="S43" i="6" s="1"/>
  <c r="T60" i="6"/>
  <c r="T59" i="6"/>
  <c r="T61" i="6" s="1"/>
  <c r="U56" i="6"/>
  <c r="T58" i="6"/>
  <c r="V55" i="6"/>
  <c r="V57" i="6" s="1"/>
  <c r="V54" i="6"/>
  <c r="R79" i="6"/>
  <c r="R80" i="6" s="1"/>
  <c r="V72" i="6"/>
  <c r="V74" i="6" s="1"/>
  <c r="V71" i="6"/>
  <c r="V10" i="4"/>
  <c r="U27" i="4"/>
  <c r="V9" i="4"/>
  <c r="U22" i="4"/>
  <c r="W70" i="6"/>
  <c r="W69" i="6"/>
  <c r="S78" i="6"/>
  <c r="R44" i="6"/>
  <c r="R45" i="6" s="1"/>
  <c r="R46" i="6" s="1"/>
  <c r="R17" i="4"/>
  <c r="R23" i="4"/>
  <c r="R30" i="4"/>
  <c r="U37" i="6"/>
  <c r="U38" i="6"/>
  <c r="U40" i="6" s="1"/>
  <c r="S29" i="4"/>
  <c r="S21" i="4"/>
  <c r="T14" i="4"/>
  <c r="S61" i="6"/>
  <c r="S62" i="6" s="1"/>
  <c r="T28" i="7" s="1"/>
  <c r="T31" i="7" s="1"/>
  <c r="R32" i="4"/>
  <c r="R24" i="4"/>
  <c r="V35" i="6"/>
  <c r="V36" i="6"/>
  <c r="X33" i="4"/>
  <c r="Y8" i="4"/>
  <c r="U73" i="6"/>
  <c r="T76" i="6"/>
  <c r="T75" i="6"/>
  <c r="T77" i="6" s="1"/>
  <c r="T78" i="6"/>
  <c r="T79" i="6" l="1"/>
  <c r="Y33" i="4"/>
  <c r="Z8" i="4"/>
  <c r="Z33" i="4" s="1"/>
  <c r="W10" i="4"/>
  <c r="W9" i="4"/>
  <c r="V22" i="4"/>
  <c r="V27" i="4"/>
  <c r="X69" i="6"/>
  <c r="X70" i="6"/>
  <c r="U60" i="6"/>
  <c r="U59" i="6"/>
  <c r="V56" i="6"/>
  <c r="U61" i="6"/>
  <c r="U58" i="6"/>
  <c r="T28" i="4"/>
  <c r="T16" i="4"/>
  <c r="T31" i="4" s="1"/>
  <c r="T20" i="4"/>
  <c r="U13" i="4"/>
  <c r="T15" i="4"/>
  <c r="U77" i="6"/>
  <c r="U76" i="6"/>
  <c r="V73" i="6"/>
  <c r="U75" i="6"/>
  <c r="U78" i="6" s="1"/>
  <c r="R37" i="4"/>
  <c r="R39" i="4" s="1"/>
  <c r="W72" i="6"/>
  <c r="W74" i="6" s="1"/>
  <c r="W71" i="6"/>
  <c r="S80" i="6"/>
  <c r="T62" i="6"/>
  <c r="U28" i="7" s="1"/>
  <c r="U31" i="7" s="1"/>
  <c r="S32" i="4"/>
  <c r="S24" i="4"/>
  <c r="T29" i="4"/>
  <c r="U14" i="4"/>
  <c r="T21" i="4"/>
  <c r="S44" i="6"/>
  <c r="S45" i="6" s="1"/>
  <c r="S46" i="6" s="1"/>
  <c r="T42" i="6"/>
  <c r="U39" i="6"/>
  <c r="T41" i="6"/>
  <c r="T43" i="6" s="1"/>
  <c r="X53" i="6"/>
  <c r="X52" i="6"/>
  <c r="V38" i="6"/>
  <c r="V40" i="6" s="1"/>
  <c r="V37" i="6"/>
  <c r="V11" i="4"/>
  <c r="V12" i="4"/>
  <c r="S28" i="7"/>
  <c r="S31" i="7" s="1"/>
  <c r="S32" i="7" s="1"/>
  <c r="T32" i="7" s="1"/>
  <c r="U32" i="7" s="1"/>
  <c r="R63" i="6"/>
  <c r="S63" i="6" s="1"/>
  <c r="T63" i="6" s="1"/>
  <c r="W35" i="6"/>
  <c r="W36" i="6"/>
  <c r="S30" i="4"/>
  <c r="S34" i="4" s="1"/>
  <c r="S23" i="4"/>
  <c r="S17" i="4"/>
  <c r="W54" i="6"/>
  <c r="W55" i="6"/>
  <c r="W57" i="6" s="1"/>
  <c r="T45" i="6" l="1"/>
  <c r="T46" i="6"/>
  <c r="X57" i="6"/>
  <c r="U79" i="6"/>
  <c r="T17" i="4"/>
  <c r="T30" i="4"/>
  <c r="T34" i="4" s="1"/>
  <c r="T23" i="4"/>
  <c r="V60" i="6"/>
  <c r="W56" i="6"/>
  <c r="V59" i="6"/>
  <c r="V61" i="6"/>
  <c r="V58" i="6"/>
  <c r="T44" i="6"/>
  <c r="U29" i="4"/>
  <c r="U21" i="4"/>
  <c r="V14" i="4"/>
  <c r="R38" i="4"/>
  <c r="U20" i="4"/>
  <c r="U28" i="4"/>
  <c r="U16" i="4"/>
  <c r="U31" i="4" s="1"/>
  <c r="V13" i="4"/>
  <c r="U15" i="4"/>
  <c r="T24" i="4"/>
  <c r="T32" i="4"/>
  <c r="U62" i="6"/>
  <c r="V28" i="7" s="1"/>
  <c r="V31" i="7" s="1"/>
  <c r="V32" i="7" s="1"/>
  <c r="W38" i="6"/>
  <c r="W40" i="6" s="1"/>
  <c r="W37" i="6"/>
  <c r="S37" i="4"/>
  <c r="S38" i="4" s="1"/>
  <c r="X72" i="6"/>
  <c r="X74" i="6" s="1"/>
  <c r="X71" i="6"/>
  <c r="V39" i="6"/>
  <c r="U42" i="6"/>
  <c r="U41" i="6"/>
  <c r="U43" i="6" s="1"/>
  <c r="Y70" i="6"/>
  <c r="Y69" i="6"/>
  <c r="Y52" i="6"/>
  <c r="Y53" i="6"/>
  <c r="W73" i="6"/>
  <c r="V76" i="6"/>
  <c r="V75" i="6"/>
  <c r="V78" i="6" s="1"/>
  <c r="X10" i="4"/>
  <c r="X9" i="4"/>
  <c r="W27" i="4"/>
  <c r="W22" i="4"/>
  <c r="X36" i="6"/>
  <c r="X35" i="6"/>
  <c r="W12" i="4"/>
  <c r="W11" i="4"/>
  <c r="X54" i="6"/>
  <c r="X55" i="6"/>
  <c r="T80" i="6"/>
  <c r="U80" i="6" s="1"/>
  <c r="U32" i="4" l="1"/>
  <c r="U63" i="6"/>
  <c r="V63" i="6" s="1"/>
  <c r="X37" i="6"/>
  <c r="X38" i="6"/>
  <c r="X40" i="6" s="1"/>
  <c r="V77" i="6"/>
  <c r="V79" i="6" s="1"/>
  <c r="X56" i="6"/>
  <c r="W59" i="6"/>
  <c r="W58" i="6"/>
  <c r="W60" i="6" s="1"/>
  <c r="Z53" i="6"/>
  <c r="Z52" i="6"/>
  <c r="V43" i="6"/>
  <c r="V42" i="6"/>
  <c r="V44" i="6" s="1"/>
  <c r="W39" i="6"/>
  <c r="V41" i="6"/>
  <c r="T37" i="4"/>
  <c r="T38" i="4" s="1"/>
  <c r="W14" i="4"/>
  <c r="V21" i="4"/>
  <c r="V29" i="4"/>
  <c r="W76" i="6"/>
  <c r="X73" i="6"/>
  <c r="W75" i="6"/>
  <c r="W78" i="6" s="1"/>
  <c r="U17" i="4"/>
  <c r="U30" i="4"/>
  <c r="U34" i="4" s="1"/>
  <c r="U23" i="4"/>
  <c r="U24" i="4" s="1"/>
  <c r="X27" i="4"/>
  <c r="X22" i="4"/>
  <c r="Y10" i="4"/>
  <c r="Y9" i="4"/>
  <c r="S39" i="4"/>
  <c r="T39" i="4" s="1"/>
  <c r="V80" i="6"/>
  <c r="Y36" i="6"/>
  <c r="Y35" i="6"/>
  <c r="Z70" i="6"/>
  <c r="Z69" i="6"/>
  <c r="V62" i="6"/>
  <c r="W28" i="7" s="1"/>
  <c r="W31" i="7" s="1"/>
  <c r="W32" i="7" s="1"/>
  <c r="Y71" i="6"/>
  <c r="Y72" i="6"/>
  <c r="Y74" i="6" s="1"/>
  <c r="Y55" i="6"/>
  <c r="Y57" i="6" s="1"/>
  <c r="Y54" i="6"/>
  <c r="U44" i="6"/>
  <c r="U45" i="6" s="1"/>
  <c r="U46" i="6" s="1"/>
  <c r="W13" i="4"/>
  <c r="V20" i="4"/>
  <c r="V28" i="4"/>
  <c r="V16" i="4"/>
  <c r="V31" i="4" s="1"/>
  <c r="V15" i="4"/>
  <c r="X12" i="4"/>
  <c r="X11" i="4"/>
  <c r="U37" i="4" l="1"/>
  <c r="U38" i="4"/>
  <c r="W62" i="6"/>
  <c r="X28" i="7" s="1"/>
  <c r="X31" i="7" s="1"/>
  <c r="X32" i="7" s="1"/>
  <c r="Z57" i="6"/>
  <c r="Y40" i="6"/>
  <c r="W77" i="6"/>
  <c r="W79" i="6" s="1"/>
  <c r="X13" i="4"/>
  <c r="W28" i="4"/>
  <c r="W20" i="4"/>
  <c r="W16" i="4"/>
  <c r="W31" i="4" s="1"/>
  <c r="W15" i="4"/>
  <c r="Y37" i="6"/>
  <c r="Y38" i="6"/>
  <c r="X39" i="6"/>
  <c r="W43" i="6"/>
  <c r="W42" i="6"/>
  <c r="W41" i="6"/>
  <c r="W44" i="6" s="1"/>
  <c r="W61" i="6"/>
  <c r="Y56" i="6"/>
  <c r="X59" i="6"/>
  <c r="X58" i="6"/>
  <c r="X60" i="6" s="1"/>
  <c r="V32" i="4"/>
  <c r="X14" i="4"/>
  <c r="W29" i="4"/>
  <c r="W21" i="4"/>
  <c r="W80" i="6"/>
  <c r="U39" i="4"/>
  <c r="V45" i="6"/>
  <c r="V46" i="6" s="1"/>
  <c r="Z36" i="6"/>
  <c r="Z35" i="6"/>
  <c r="Z72" i="6"/>
  <c r="Z74" i="6" s="1"/>
  <c r="Z71" i="6"/>
  <c r="Y11" i="4"/>
  <c r="Y12" i="4"/>
  <c r="X77" i="6"/>
  <c r="Y73" i="6"/>
  <c r="X76" i="6"/>
  <c r="X75" i="6"/>
  <c r="X78" i="6" s="1"/>
  <c r="Y22" i="4"/>
  <c r="Z9" i="4"/>
  <c r="Z10" i="4"/>
  <c r="Y27" i="4"/>
  <c r="V30" i="4"/>
  <c r="V34" i="4" s="1"/>
  <c r="V17" i="4"/>
  <c r="V23" i="4"/>
  <c r="V24" i="4" s="1"/>
  <c r="Z55" i="6"/>
  <c r="Z54" i="6"/>
  <c r="V37" i="4" l="1"/>
  <c r="V38" i="4"/>
  <c r="W46" i="6"/>
  <c r="X61" i="6"/>
  <c r="X62" i="6" s="1"/>
  <c r="Y28" i="7" s="1"/>
  <c r="Y31" i="7" s="1"/>
  <c r="Y32" i="7" s="1"/>
  <c r="W30" i="4"/>
  <c r="W23" i="4"/>
  <c r="W17" i="4"/>
  <c r="Z40" i="6"/>
  <c r="W45" i="6"/>
  <c r="Z22" i="4"/>
  <c r="Z27" i="4"/>
  <c r="X29" i="4"/>
  <c r="X21" i="4"/>
  <c r="Y14" i="4"/>
  <c r="Z73" i="6"/>
  <c r="Y76" i="6"/>
  <c r="Y75" i="6"/>
  <c r="Y78" i="6" s="1"/>
  <c r="Z38" i="6"/>
  <c r="Z37" i="6"/>
  <c r="W32" i="4"/>
  <c r="W34" i="4" s="1"/>
  <c r="W24" i="4"/>
  <c r="X79" i="6"/>
  <c r="V39" i="4"/>
  <c r="X28" i="4"/>
  <c r="X20" i="4"/>
  <c r="X16" i="4"/>
  <c r="X31" i="4" s="1"/>
  <c r="Y13" i="4"/>
  <c r="X15" i="4"/>
  <c r="X80" i="6"/>
  <c r="Y39" i="6"/>
  <c r="X43" i="6"/>
  <c r="X42" i="6"/>
  <c r="X41" i="6"/>
  <c r="X44" i="6" s="1"/>
  <c r="W63" i="6"/>
  <c r="Z12" i="4"/>
  <c r="Z11" i="4"/>
  <c r="Z56" i="6"/>
  <c r="Y59" i="6"/>
  <c r="Y58" i="6"/>
  <c r="Y60" i="6" s="1"/>
  <c r="Z60" i="6" l="1"/>
  <c r="Z59" i="6"/>
  <c r="Z61" i="6"/>
  <c r="Z58" i="6"/>
  <c r="D20" i="6" s="1"/>
  <c r="Z39" i="6"/>
  <c r="Y42" i="6"/>
  <c r="Y41" i="6"/>
  <c r="Y43" i="6" s="1"/>
  <c r="Y80" i="6"/>
  <c r="Y77" i="6"/>
  <c r="Y79" i="6" s="1"/>
  <c r="Z13" i="4"/>
  <c r="Y28" i="4"/>
  <c r="Y16" i="4"/>
  <c r="Y31" i="4" s="1"/>
  <c r="Y20" i="4"/>
  <c r="Y15" i="4"/>
  <c r="Y61" i="6"/>
  <c r="Y62" i="6" s="1"/>
  <c r="Z28" i="7" s="1"/>
  <c r="Z31" i="7" s="1"/>
  <c r="Z32" i="7" s="1"/>
  <c r="X45" i="6"/>
  <c r="W37" i="4"/>
  <c r="W39" i="4" s="1"/>
  <c r="Z77" i="6"/>
  <c r="Z76" i="6"/>
  <c r="Z75" i="6"/>
  <c r="E20" i="6" s="1"/>
  <c r="X63" i="6"/>
  <c r="X30" i="4"/>
  <c r="X34" i="4" s="1"/>
  <c r="X23" i="4"/>
  <c r="X17" i="4"/>
  <c r="Y21" i="4"/>
  <c r="Z14" i="4"/>
  <c r="Y29" i="4"/>
  <c r="X46" i="6"/>
  <c r="X32" i="4"/>
  <c r="X24" i="4"/>
  <c r="W38" i="4" l="1"/>
  <c r="Z42" i="6"/>
  <c r="Z41" i="6"/>
  <c r="C20" i="6" s="1"/>
  <c r="Z44" i="6"/>
  <c r="Y63" i="6"/>
  <c r="Z20" i="4"/>
  <c r="Z28" i="4"/>
  <c r="Z16" i="4"/>
  <c r="Z31" i="4" s="1"/>
  <c r="Z15" i="4"/>
  <c r="X37" i="4"/>
  <c r="X39" i="4" s="1"/>
  <c r="Y23" i="4"/>
  <c r="Y17" i="4"/>
  <c r="Y30" i="4"/>
  <c r="Y34" i="4" s="1"/>
  <c r="D21" i="6"/>
  <c r="D22" i="6"/>
  <c r="Z78" i="6"/>
  <c r="Y32" i="4"/>
  <c r="Y24" i="4"/>
  <c r="Z62" i="6"/>
  <c r="AA28" i="7" s="1"/>
  <c r="AA31" i="7" s="1"/>
  <c r="AA32" i="7" s="1"/>
  <c r="D27" i="6"/>
  <c r="D25" i="6"/>
  <c r="D24" i="6"/>
  <c r="Z29" i="4"/>
  <c r="Z21" i="4"/>
  <c r="E22" i="6"/>
  <c r="E21" i="6"/>
  <c r="Y44" i="6"/>
  <c r="Y45" i="6" s="1"/>
  <c r="Y46" i="6" s="1"/>
  <c r="Z79" i="6"/>
  <c r="Z80" i="6" s="1"/>
  <c r="E27" i="6"/>
  <c r="E25" i="6"/>
  <c r="E24" i="6"/>
  <c r="E26" i="6" l="1"/>
  <c r="E29" i="6"/>
  <c r="E58" i="7" s="1"/>
  <c r="C22" i="7"/>
  <c r="C21" i="7"/>
  <c r="C18" i="7"/>
  <c r="C23" i="7"/>
  <c r="C19" i="7"/>
  <c r="X38" i="4"/>
  <c r="Z23" i="4"/>
  <c r="Z24" i="4" s="1"/>
  <c r="Z17" i="4"/>
  <c r="Z30" i="4"/>
  <c r="Z34" i="4" s="1"/>
  <c r="C21" i="6"/>
  <c r="C22" i="6"/>
  <c r="Z43" i="6"/>
  <c r="Z32" i="4"/>
  <c r="Y38" i="4"/>
  <c r="Y37" i="4"/>
  <c r="Y39" i="4" s="1"/>
  <c r="Z63" i="6"/>
  <c r="Z37" i="4" l="1"/>
  <c r="Z39" i="4" s="1"/>
  <c r="Z38" i="4"/>
  <c r="Z45" i="6"/>
  <c r="Z46" i="6" s="1"/>
  <c r="C25" i="6"/>
  <c r="C24" i="6"/>
  <c r="D26" i="6"/>
  <c r="D29" i="6"/>
  <c r="D58" i="7" s="1"/>
  <c r="E57" i="7"/>
  <c r="E54" i="7"/>
  <c r="E59" i="7"/>
  <c r="D54" i="7" l="1"/>
  <c r="D57" i="7"/>
  <c r="D59" i="7"/>
  <c r="C27" i="6"/>
  <c r="C26" i="6"/>
  <c r="C29" i="6"/>
  <c r="C58" i="7" s="1"/>
  <c r="C57" i="7" l="1"/>
  <c r="C54" i="7"/>
  <c r="C59" i="7"/>
</calcChain>
</file>

<file path=xl/sharedStrings.xml><?xml version="1.0" encoding="utf-8"?>
<sst xmlns="http://schemas.openxmlformats.org/spreadsheetml/2006/main" count="527" uniqueCount="341">
  <si>
    <t>NZT — Unit Economics &amp; Cohort Model</t>
  </si>
  <si>
    <t>AI-агент + персональная память + геймифицированный интерфейс</t>
  </si>
  <si>
    <t>Структура модели</t>
  </si>
  <si>
    <t>Допущения</t>
  </si>
  <si>
    <t>Все входные параметры в одном месте. Меняйте жёлтые ячейки — модель пересчитается.</t>
  </si>
  <si>
    <t>Unit-экономика</t>
  </si>
  <si>
    <t>Подушевые экономики по трём тирам: Free / $20 / $100. LTV, CAC, payback.</t>
  </si>
  <si>
    <t>Когортная модель</t>
  </si>
  <si>
    <t>24-месячная проекция: users, revenue, costs, P&amp;L.</t>
  </si>
  <si>
    <t>Сценарии</t>
  </si>
  <si>
    <t>Bear / Base / Bull с переключением параметров воронки, роста, кеша. Headline + полные проекции на 24 мес.</t>
  </si>
  <si>
    <t>Cash Flow</t>
  </si>
  <si>
    <t>Денежный поток с upfront R&amp;D из питча ($15K+$25K+$10K), runway, минимальная cash injection. Переключатель сценария.</t>
  </si>
  <si>
    <t>Графики</t>
  </si>
  <si>
    <t>Revenue mix, маржинальность по тирам, путь к безубыточности.</t>
  </si>
  <si>
    <t>Ключевые рычаги модели</t>
  </si>
  <si>
    <t>X (Free tokens)</t>
  </si>
  <si>
    <t>Сколько токенов DeepSeek даём бесплатно. Влияет на retention free vs cost.</t>
  </si>
  <si>
    <t>Y1, Y2 (Paid tokens)</t>
  </si>
  <si>
    <t>Лимиты Anthropic-токенов в платных тирах. Прямо влияют на gross margin.</t>
  </si>
  <si>
    <t>% input кешируется</t>
  </si>
  <si>
    <t>Главный рычаг себестоимости. Кеш-хит = 10% цены. NZT с памятью кешируется хорошо.</t>
  </si>
  <si>
    <t>Free → Paid конверсия</t>
  </si>
  <si>
    <t>Бенчмарк consumer AI: 2-7%. ChatGPT Plus ~5%.</t>
  </si>
  <si>
    <t>Churn</t>
  </si>
  <si>
    <t>Чувствительность LTV. 1% churn = разница в LTV в разы.</t>
  </si>
  <si>
    <t>CAC</t>
  </si>
  <si>
    <t>Бенчмарк: $5-15 organic, $20-50 paid. Premium tier выдерживает выше.</t>
  </si>
  <si>
    <t>Источники цен LLM (май 2026)</t>
  </si>
  <si>
    <t>DeepSeek V3.2</t>
  </si>
  <si>
    <t>$0.14/M input, $0.28/M output (api-docs.deepseek.com)</t>
  </si>
  <si>
    <t>Claude Haiku 4.5</t>
  </si>
  <si>
    <t>$1.00/$5.00 per MTok (anthropic.com)</t>
  </si>
  <si>
    <t>Claude Sonnet 4.6</t>
  </si>
  <si>
    <t>$3.00/$15.00 per MTok (anthropic.com)</t>
  </si>
  <si>
    <t>Prompt caching</t>
  </si>
  <si>
    <t>До 90% скидка на cached input tokens</t>
  </si>
  <si>
    <t>Цветовой код (Wall Street convention)</t>
  </si>
  <si>
    <t>Синий текст на жёлтом фоне</t>
  </si>
  <si>
    <t>Жёстко заданный input. Меняйте эти ячейки.</t>
  </si>
  <si>
    <t>Чёрный текст</t>
  </si>
  <si>
    <t>Формула или расчёт. Не редактировать.</t>
  </si>
  <si>
    <t>Зелёный текст</t>
  </si>
  <si>
    <t>Ссылка на другую вкладку.</t>
  </si>
  <si>
    <t>Допущения модели</t>
  </si>
  <si>
    <t>Параметр</t>
  </si>
  <si>
    <t>Значение</t>
  </si>
  <si>
    <t>Ед.</t>
  </si>
  <si>
    <t>Источник / комментарий</t>
  </si>
  <si>
    <t>A. Лимиты токенов по тирам</t>
  </si>
  <si>
    <t>X — лимит токенов Free (DeepSeek)</t>
  </si>
  <si>
    <t>tok/мес</t>
  </si>
  <si>
    <t>~80-100 запросов с подгрузкой памяти</t>
  </si>
  <si>
    <t>Y1 — лимит токенов Basic $20 (Anthropic)</t>
  </si>
  <si>
    <t>Haiku-heavy mix, ~300 запросов с богатым контекстом</t>
  </si>
  <si>
    <t>Y2 — лимит токенов Premium $100 (Anthropic)</t>
  </si>
  <si>
    <t>Sonnet-heavy mix, power users + агентные задачи</t>
  </si>
  <si>
    <t>B. Структура потребления токенов</t>
  </si>
  <si>
    <t>Доля input в общем потреблении</t>
  </si>
  <si>
    <t>%</t>
  </si>
  <si>
    <t>NZT-style: подгрузка памяти = много input</t>
  </si>
  <si>
    <t>Доля output в общем потреблении</t>
  </si>
  <si>
    <t>Автоматически = 1 - input share</t>
  </si>
  <si>
    <t>Доля input, который кешируется</t>
  </si>
  <si>
    <t>Системный промпт + переиспользуемый memory context</t>
  </si>
  <si>
    <t>Скидка cache hit от обычной цены</t>
  </si>
  <si>
    <t>Anthropic prompt caching: cache read = 10% базовой цены</t>
  </si>
  <si>
    <t>C. Цены LLM (за 1M токенов)</t>
  </si>
  <si>
    <t>DeepSeek V3.2 — input (cache miss)</t>
  </si>
  <si>
    <t>$/M</t>
  </si>
  <si>
    <t>Источник: api-docs.deepseek.com, апр 2026</t>
  </si>
  <si>
    <t>DeepSeek V3.2 — output</t>
  </si>
  <si>
    <t>Claude Haiku 4.5 — input</t>
  </si>
  <si>
    <t>Источник: anthropic.com, май 2026</t>
  </si>
  <si>
    <t>Claude Haiku 4.5 — output</t>
  </si>
  <si>
    <t>Claude Sonnet 4.6 — input</t>
  </si>
  <si>
    <t>Claude Sonnet 4.6 — output</t>
  </si>
  <si>
    <t>D. Распределение между моделями (Anthropic)</t>
  </si>
  <si>
    <t>Basic тир — доля Haiku в запросах</t>
  </si>
  <si>
    <t>Routing: простые → Haiku, сложные → Sonnet</t>
  </si>
  <si>
    <t>Basic тир — доля Sonnet</t>
  </si>
  <si>
    <t>Автоматически = 1 - доля Haiku</t>
  </si>
  <si>
    <t>Premium тир — доля Haiku</t>
  </si>
  <si>
    <t>Power users чаще требуют Sonnet</t>
  </si>
  <si>
    <t>Premium тир — доля Sonnet</t>
  </si>
  <si>
    <t>E. Цены подписок</t>
  </si>
  <si>
    <t>Цена Basic подписки</t>
  </si>
  <si>
    <t>$/мес</t>
  </si>
  <si>
    <t>Бенчмарк: ChatGPT Plus, Claude Pro = $20</t>
  </si>
  <si>
    <t>Цена Premium подписки</t>
  </si>
  <si>
    <t>Бенчмарк: Claude Max, ChatGPT Pro = $100-200</t>
  </si>
  <si>
    <t>F. Воронка и конверсия</t>
  </si>
  <si>
    <t>Free → Paid конверсия (в месяц)</t>
  </si>
  <si>
    <t>Бенчмарк consumer AI freemium: 1-3% мес. конверсия</t>
  </si>
  <si>
    <t>Доля платных, выбирающих Basic</t>
  </si>
  <si>
    <t>Большинство стартует с дешевого тира</t>
  </si>
  <si>
    <t>Доля платных, выбирающих Premium</t>
  </si>
  <si>
    <t>Power users: разработчики, исследователи</t>
  </si>
  <si>
    <t>G. Churn (месячный)</t>
  </si>
  <si>
    <t>Free churn</t>
  </si>
  <si>
    <t>%/мес</t>
  </si>
  <si>
    <t>Высокий, но не влияет на revenue</t>
  </si>
  <si>
    <t>Basic churn</t>
  </si>
  <si>
    <t>Consumer SaaS: 5-10% mature, до 12% в первый год</t>
  </si>
  <si>
    <t>Premium churn</t>
  </si>
  <si>
    <t>Power users липкие; высокая вовлечённость</t>
  </si>
  <si>
    <t>H. CAC</t>
  </si>
  <si>
    <t>CAC Free user</t>
  </si>
  <si>
    <t>$</t>
  </si>
  <si>
    <t>Преимущественно органика + вирусные механики</t>
  </si>
  <si>
    <t>CAC Basic</t>
  </si>
  <si>
    <t>Бенчмарк: $20-50 paid acquisition + part organic</t>
  </si>
  <si>
    <t>CAC Premium</t>
  </si>
  <si>
    <t>Выше CAC оправдан LTV</t>
  </si>
  <si>
    <t>I. Доход от рекламы (только Free)</t>
  </si>
  <si>
    <t>Показов рекламы на active free user/мес</t>
  </si>
  <si>
    <t>имп/мес</t>
  </si>
  <si>
    <t>~5 показов/день у активного юзера</t>
  </si>
  <si>
    <t>CPM (cost per mille)</t>
  </si>
  <si>
    <t>Контекстная реклама AI-аудитории: $3-8 CPM</t>
  </si>
  <si>
    <t>Реклама ARPU на Free user</t>
  </si>
  <si>
    <t>Расчёт: показы × CPM / 1000. Меняется автоматически</t>
  </si>
  <si>
    <t>J. Доход от данных</t>
  </si>
  <si>
    <t>Data revenue per MAU (все тиры)</t>
  </si>
  <si>
    <t>Анонимные агрегаты, реалистично при &gt;50K MAU</t>
  </si>
  <si>
    <t>K. Инфраструктура и операции</t>
  </si>
  <si>
    <t>Инфра на user/мес (DB + compute + CDN)</t>
  </si>
  <si>
    <t>Vector DB + Postgres + bandwidth</t>
  </si>
  <si>
    <t>Support на платного user/мес</t>
  </si>
  <si>
    <t>Inbox: ~3% paid users пишут, $15/тикет</t>
  </si>
  <si>
    <t>Payment processing</t>
  </si>
  <si>
    <t>Stripe/local: 2.9% + $0.30 fixed</t>
  </si>
  <si>
    <t>L. Рост (для когортной модели)</t>
  </si>
  <si>
    <t>Free MAU на старте (M1)</t>
  </si>
  <si>
    <t>users</t>
  </si>
  <si>
    <t>Soft launch, ранние пользователи</t>
  </si>
  <si>
    <t>Рост new acquisitions M1-M6</t>
  </si>
  <si>
    <t>Активный launch growth</t>
  </si>
  <si>
    <t>Рост new acquisitions M7-M12</t>
  </si>
  <si>
    <t>Стабилизация</t>
  </si>
  <si>
    <t>Рост new acquisitions M13-M24</t>
  </si>
  <si>
    <t>Mature growth</t>
  </si>
  <si>
    <t>Unit-экономика по тирам</t>
  </si>
  <si>
    <t>Все суммы — на 1 активного пользователя в месяц</t>
  </si>
  <si>
    <t>Метрика</t>
  </si>
  <si>
    <t>Free
(DeepSeek)</t>
  </si>
  <si>
    <t>Basic $20
(Anthropic)</t>
  </si>
  <si>
    <t>Premium $100
(Anthropic)</t>
  </si>
  <si>
    <t>Комментарий</t>
  </si>
  <si>
    <t>ВЫРУЧКА</t>
  </si>
  <si>
    <t>Подписка</t>
  </si>
  <si>
    <t>$0 на Free; полная цена подписки на Paid</t>
  </si>
  <si>
    <t>Реклама</t>
  </si>
  <si>
    <t>Только на Free; платных не показываем</t>
  </si>
  <si>
    <t>Продажа данных (агрегаты)</t>
  </si>
  <si>
    <t>Анонимные агрегаты; одинаково для всех тиров</t>
  </si>
  <si>
    <t>Итого выручка</t>
  </si>
  <si>
    <t>СЕБЕСТОИМОСТЬ</t>
  </si>
  <si>
    <t>LLM API (токены)</t>
  </si>
  <si>
    <t>Эффективная цена с учётом 50% cached input (90% off)</t>
  </si>
  <si>
    <t>Инфраструктура (DB + compute + CDN)</t>
  </si>
  <si>
    <t>Support</t>
  </si>
  <si>
    <t>Free пользователи без поддержки</t>
  </si>
  <si>
    <t>Payment processing (от подписки)</t>
  </si>
  <si>
    <t>Итого себестоимость</t>
  </si>
  <si>
    <t>МАРЖА</t>
  </si>
  <si>
    <t>Contribution margin $</t>
  </si>
  <si>
    <t>Contribution margin %</t>
  </si>
  <si>
    <t>LTV / CAC</t>
  </si>
  <si>
    <t>Churn / мес</t>
  </si>
  <si>
    <t>Lifetime (1/churn)</t>
  </si>
  <si>
    <t>LTV (contribution × lifetime)</t>
  </si>
  <si>
    <t>Здоровый бенчмарк: &gt;3x. &lt;1x = unit-экономика не сходится</t>
  </si>
  <si>
    <t>Payback period</t>
  </si>
  <si>
    <t>Итог по unit-экономике</t>
  </si>
  <si>
    <t>Free</t>
  </si>
  <si>
    <t>Free контрибутивно прибылен на ads+data, если LLM cost меньше выручки. Главная роль — top of funnel.</t>
  </si>
  <si>
    <t>Basic $20</t>
  </si>
  <si>
    <t>Маржинальность 50-65% при правильном routing на Haiku. Основной revenue driver.</t>
  </si>
  <si>
    <t>Premium $100</t>
  </si>
  <si>
    <t>Маржинальность 40-55%, но абсолютная маржа в разы выше. Power users липкие.</t>
  </si>
  <si>
    <t>Когортная модель: 24 месяца</t>
  </si>
  <si>
    <t>Все числа пересчитываются автоматически при изменении допущений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</si>
  <si>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</si>
  <si>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</si>
  <si>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</si>
  <si>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</si>
  <si>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</si>
  <si>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</si>
  <si>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</si>
  <si>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</si>
  <si>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</si>
  <si>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</si>
  <si>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</si>
  <si>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</si>
  <si>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</si>
  <si>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</si>
  <si>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</si>
  <si>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</si>
  <si>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</si>
  <si>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</si>
  <si>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</si>
  <si>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</si>
  <si>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</si>
  <si>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</si>
  <si>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</si>
  <si>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</si>
  <si>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ПОЛЬЗОВАТЕЛИ</t>
  </si>
  <si>
    <t>Growth rate новых acquisitions</t>
  </si>
  <si>
    <t>New Free acquisitions</t>
  </si>
  <si>
    <t>Free MAU (конец месяца)</t>
  </si>
  <si>
    <t>Конверсий Free → Paid</t>
  </si>
  <si>
    <t>Новых Basic подписок</t>
  </si>
  <si>
    <t>Новых Premium подписок</t>
  </si>
  <si>
    <t>Basic MAU (конец месяца)</t>
  </si>
  <si>
    <t>Premium MAU (конец месяца)</t>
  </si>
  <si>
    <t>Total MAU</t>
  </si>
  <si>
    <t>Total Paid MAU</t>
  </si>
  <si>
    <t>Paid % от Total</t>
  </si>
  <si>
    <t>Подписка Basic</t>
  </si>
  <si>
    <t>Подписка Premium</t>
  </si>
  <si>
    <t>Реклама (Free)</t>
  </si>
  <si>
    <t>Продажа данных</t>
  </si>
  <si>
    <t>ИТОГО ВЫРУЧКА</t>
  </si>
  <si>
    <t>LLM API — Free (DeepSeek)</t>
  </si>
  <si>
    <t>LLM API — Basic (Anthropic)</t>
  </si>
  <si>
    <t>LLM API — Premium (Anthropic)</t>
  </si>
  <si>
    <t>Инфраструктура</t>
  </si>
  <si>
    <t>Support (paid)</t>
  </si>
  <si>
    <t>Маркетинг (CAC × new Free)</t>
  </si>
  <si>
    <t>ИТОГО CОST</t>
  </si>
  <si>
    <t>P&amp;L</t>
  </si>
  <si>
    <t>Contribution (Revenue - Cost)</t>
  </si>
  <si>
    <t>Margin %</t>
  </si>
  <si>
    <t>Cumulative contribution</t>
  </si>
  <si>
    <t>Сравнение Unit-экономики по тирам</t>
  </si>
  <si>
    <t>Тир</t>
  </si>
  <si>
    <t>Выручка</t>
  </si>
  <si>
    <t>Себестоимость</t>
  </si>
  <si>
    <t>Контрибуция</t>
  </si>
  <si>
    <t>Сценарии: Bear / Base / Bull</t>
  </si>
  <si>
    <t>Меняйте параметры в синих ячейках — проекции пересчитаются автоматически</t>
  </si>
  <si>
    <t>BEAR</t>
  </si>
  <si>
    <t>BASE</t>
  </si>
  <si>
    <t>BULL</t>
  </si>
  <si>
    <t>Воронка</t>
  </si>
  <si>
    <t>Free → Paid конверсия (мес)</t>
  </si>
  <si>
    <t>Bear: launch friction. Bull: viral product + retention loops</t>
  </si>
  <si>
    <t>Churn Basic</t>
  </si>
  <si>
    <t>Bear: повышенный отток в первый год</t>
  </si>
  <si>
    <t>Churn Premium</t>
  </si>
  <si>
    <t>Power users всегда более липкие</t>
  </si>
  <si>
    <t>Рост</t>
  </si>
  <si>
    <t>Growth new acquisitions M1-M6</t>
  </si>
  <si>
    <t>Bear: слабый launch. Bull: PR + word of mouth</t>
  </si>
  <si>
    <t>Growth M7-M12</t>
  </si>
  <si>
    <t>Стабилизация после launch</t>
  </si>
  <si>
    <t>Growth M13-M24</t>
  </si>
  <si>
    <t>Себестоимость и доходы</t>
  </si>
  <si>
    <t>Доля input кешируется</t>
  </si>
  <si>
    <t>Bear: weak caching. Bull: aggressive architecture</t>
  </si>
  <si>
    <t>Реклама ARPU Free</t>
  </si>
  <si>
    <t>Bear: до scale CPM низкий. Bull: премиум AI-аудитория</t>
  </si>
  <si>
    <t>CAC Free</t>
  </si>
  <si>
    <t>Bear: дорогой paid traffic. Bull: organic + virality</t>
  </si>
  <si>
    <t>Headline-метрики (24 мес проекция)</t>
  </si>
  <si>
    <t>MAU на M24</t>
  </si>
  <si>
    <t>Сравнительная база</t>
  </si>
  <si>
    <t>Paid MAU на M24</t>
  </si>
  <si>
    <t>Платящие на горизонте</t>
  </si>
  <si>
    <t>Paid % на M24</t>
  </si>
  <si>
    <t>Зрелость монетизации</t>
  </si>
  <si>
    <t>Year 1 Revenue</t>
  </si>
  <si>
    <t>Первый год коммерции</t>
  </si>
  <si>
    <t>Year 2 Revenue</t>
  </si>
  <si>
    <t>Скейл-эффект</t>
  </si>
  <si>
    <t>Cumulative 24mo Revenue</t>
  </si>
  <si>
    <t>Total revenue за 2 года</t>
  </si>
  <si>
    <t>Cumulative 24mo Contribution</t>
  </si>
  <si>
    <t>Накопленная маржа</t>
  </si>
  <si>
    <t>Margin на M24</t>
  </si>
  <si>
    <t>Зрелая маржинальность</t>
  </si>
  <si>
    <t>Месяц break-even (cum &gt; 0)</t>
  </si>
  <si>
    <t>На каком месяце вышли из минуса</t>
  </si>
  <si>
    <t>Минимальная cum-маржа ($)</t>
  </si>
  <si>
    <t>Сколько денег нужно из инвестиций</t>
  </si>
  <si>
    <t>Проекция: BEAR</t>
  </si>
  <si>
    <t>Месяц</t>
  </si>
  <si>
    <t>New Free / мес</t>
  </si>
  <si>
    <t>Free MAU</t>
  </si>
  <si>
    <t>Конверсий → Paid</t>
  </si>
  <si>
    <t>New Basic</t>
  </si>
  <si>
    <t>New Premium</t>
  </si>
  <si>
    <t>Basic MAU</t>
  </si>
  <si>
    <t>Premium MAU</t>
  </si>
  <si>
    <t>Paid MAU</t>
  </si>
  <si>
    <t>Revenue</t>
  </si>
  <si>
    <t>Total Cost</t>
  </si>
  <si>
    <t>Contribution</t>
  </si>
  <si>
    <t>Cumulative</t>
  </si>
  <si>
    <t>Проекция: BASE</t>
  </si>
  <si>
    <t>Проекция: BULL</t>
  </si>
  <si>
    <t>Cash Flow &amp; Runway</t>
  </si>
  <si>
    <t>Денежный поток с учётом R&amp;D upfront и операционной маржи по выбранному сценарию</t>
  </si>
  <si>
    <t>Входные параметры</t>
  </si>
  <si>
    <t>R&amp;D Gametech</t>
  </si>
  <si>
    <t>Из питча</t>
  </si>
  <si>
    <t>R&amp;D Cluster (data + LLM tuning)</t>
  </si>
  <si>
    <t>Management / Setup</t>
  </si>
  <si>
    <t>Итого upfront R&amp;D</t>
  </si>
  <si>
    <t>Monthly overhead (team + tools + legal)</t>
  </si>
  <si>
    <t>Lean команда (2-3 человека part-time) + инфра + юр</t>
  </si>
  <si>
    <t>R&amp;D spread (M0 + сколько месяцев)</t>
  </si>
  <si>
    <t>мес</t>
  </si>
  <si>
    <t>1 = всё в M0; 2 = M0 + 1 мес; и т.д.</t>
  </si>
  <si>
    <t>Сценарий для cash flow</t>
  </si>
  <si>
    <t>Base</t>
  </si>
  <si>
    <t>Выберите: Bear / Base / Bull</t>
  </si>
  <si>
    <t>Bull</t>
  </si>
  <si>
    <t>Headline по выбранному сценарию</t>
  </si>
  <si>
    <t>Минимальная позиция кэша ($)</t>
  </si>
  <si>
    <t>Месяц peak burn</t>
  </si>
  <si>
    <t>Месяц cash-positive (cumulative &gt; 0)</t>
  </si>
  <si>
    <t>Необходимая cash injection ($)</t>
  </si>
  <si>
    <t>Cash на M24 ($)</t>
  </si>
  <si>
    <t>Runway (мес при сжигании)</t>
  </si>
  <si>
    <t>Денежный поток помесячно</t>
  </si>
  <si>
    <t>M0</t>
  </si>
  <si>
    <t>Операционная контрибуция</t>
  </si>
  <si>
    <t>Operating overhead (-)</t>
  </si>
  <si>
    <t>R&amp;D upfront (-)</t>
  </si>
  <si>
    <t>Net cash flow</t>
  </si>
  <si>
    <t>Накопленный кэш</t>
  </si>
  <si>
    <t>Сравнение всех 3 сценариев</t>
  </si>
  <si>
    <t>Накопленная контрибуция (24 мес)</t>
  </si>
  <si>
    <t>Total overhead (25 мес)</t>
  </si>
  <si>
    <t>R&amp;D upfront</t>
  </si>
  <si>
    <t>Cash на M24 (после всего)</t>
  </si>
  <si>
    <t>Пиковая операционная просадка ($)</t>
  </si>
  <si>
    <t>Минимальная cash injection (оценка)</t>
  </si>
  <si>
    <t>Примечание: точная cash injection — в headline-блоке выше (переключите сценарий)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</si>
</sst>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;\(#,##0\);\-"/>
    <numFmt numFmtId="165" formatCode="0.0%;\(0.0%\);\-"/>
    <numFmt numFmtId="166" formatCode="\$#,##0.00;&quot;($&quot;#,##0.00\);\-"/>
    <numFmt numFmtId="167" formatCode="\$#,##0;&quot;($&quot;#,##0\);\-"/>
    <numFmt numFmtId="168" formatCode="0.0&quot; мес&quot;"/>
    <numFmt numFmtId="169" formatCode="0.0\x"/>
    <numFmt numFmtId="170" formatCode="\$#,##0.00"/>
    <numFmt numFmtId="171" formatCode="0&quot; мес&quot;"/>
  </numFmts>
  <fonts count="31" x14ac:knownFonts="1">
    <font>
      <sz val="11"/>
      <color theme="1"/>
      <name val="Calibri"/>
      <family val="2"/>
      <charset val="1"/>
    </font>
    <font>
      <b/>
      <sz val="20"/>
      <color rgb="FF1A1A2E"/>
      <name val="Arial"/>
      <family val="2"/>
    </font>
    <font>
      <i/>
      <sz val="11"/>
      <color rgb="FF374151"/>
      <name val="Arial"/>
      <family val="2"/>
    </font>
    <font>
      <b/>
      <sz val="14"/>
      <color rgb="FF2563EB"/>
      <name val="Arial"/>
      <family val="2"/>
    </font>
    <font>
      <b/>
      <sz val="11"/>
      <color rgb="FF1A1A2E"/>
      <name val="Arial"/>
      <family val="2"/>
    </font>
    <font>
      <sz val="10"/>
      <color rgb="FF374151"/>
      <name val="Arial"/>
      <family val="2"/>
    </font>
    <font>
      <b/>
      <sz val="10"/>
      <color rgb="FF374151"/>
      <name val="Arial"/>
      <family val="2"/>
    </font>
    <font>
      <b/>
      <sz val="12"/>
      <color rgb="FF2563EB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8000"/>
      <name val="Arial"/>
      <family val="2"/>
    </font>
    <font>
      <b/>
      <sz val="18"/>
      <color rgb="FF1A1A2E"/>
      <name val="Arial"/>
      <family val="2"/>
    </font>
    <font>
      <b/>
      <sz val="11"/>
      <color rgb="FFFFFFFF"/>
      <name val="Arial"/>
      <family val="2"/>
    </font>
    <font>
      <sz val="10"/>
      <color rgb="FF0000FF"/>
      <name val="Arial"/>
      <family val="2"/>
    </font>
    <font>
      <sz val="9"/>
      <color rgb="FF374151"/>
      <name val="Arial"/>
      <family val="2"/>
    </font>
    <font>
      <sz val="10"/>
      <color rgb="FF000000"/>
      <name val="Arial"/>
      <family val="2"/>
    </font>
    <font>
      <i/>
      <sz val="10"/>
      <color rgb="FF374151"/>
      <name val="Arial"/>
      <family val="2"/>
    </font>
    <font>
      <sz val="10"/>
      <color rgb="FF008000"/>
      <name val="Arial"/>
      <family val="2"/>
    </font>
    <font>
      <b/>
      <sz val="10"/>
      <color rgb="FF1A1A2E"/>
      <name val="Arial"/>
      <family val="2"/>
    </font>
    <font>
      <b/>
      <sz val="10"/>
      <color rgb="FFFFFFFF"/>
      <name val="Arial"/>
      <family val="2"/>
    </font>
    <font>
      <b/>
      <sz val="14"/>
      <color rgb="FF1A1A2E"/>
      <name val="Arial"/>
      <family val="2"/>
    </font>
    <font>
      <b/>
      <sz val="10"/>
      <color rgb="FF991B1B"/>
      <name val="Arial"/>
      <family val="2"/>
    </font>
    <font>
      <b/>
      <sz val="10"/>
      <color rgb="FF1E3A8A"/>
      <name val="Arial"/>
      <family val="2"/>
    </font>
    <font>
      <b/>
      <sz val="10"/>
      <color rgb="FF065F46"/>
      <name val="Arial"/>
      <family val="2"/>
    </font>
    <font>
      <b/>
      <sz val="12"/>
      <color rgb="FFFFFFFF"/>
      <name val="Arial"/>
      <family val="2"/>
    </font>
    <font>
      <b/>
      <sz val="9"/>
      <color rgb="FF37415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374151"/>
      <name val="Arial"/>
      <family val="2"/>
    </font>
    <font>
      <b/>
      <sz val="11"/>
      <color rgb="FF0000FF"/>
      <name val="Arial"/>
      <family val="2"/>
    </font>
    <font>
      <b/>
      <sz val="14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EF3C7"/>
        <bgColor rgb="FFFEE2E2"/>
      </patternFill>
    </fill>
    <fill>
      <patternFill patternType="solid">
        <fgColor rgb="FF1A1A2E"/>
        <bgColor rgb="FF1E1B4B"/>
      </patternFill>
    </fill>
    <fill>
      <patternFill patternType="solid">
        <fgColor rgb="FF2563EB"/>
        <bgColor rgb="FF0066CC"/>
      </patternFill>
    </fill>
    <fill>
      <patternFill patternType="solid">
        <fgColor rgb="FFFFFFFF"/>
        <bgColor rgb="FFFEF3C7"/>
      </patternFill>
    </fill>
    <fill>
      <patternFill patternType="solid">
        <fgColor rgb="FFDBEAFE"/>
        <bgColor rgb="FFD1FAE5"/>
      </patternFill>
    </fill>
    <fill>
      <patternFill patternType="solid">
        <fgColor rgb="FFD1FAE5"/>
        <bgColor rgb="FFDBEAFE"/>
      </patternFill>
    </fill>
    <fill>
      <patternFill patternType="solid">
        <fgColor rgb="FF059669"/>
        <bgColor rgb="FF339966"/>
      </patternFill>
    </fill>
    <fill>
      <patternFill patternType="solid">
        <fgColor rgb="FFFEE2E2"/>
        <bgColor rgb="FFFEF3C7"/>
      </patternFill>
    </fill>
    <fill>
      <patternFill patternType="solid">
        <fgColor rgb="FF991B1B"/>
        <bgColor rgb="FF800000"/>
      </patternFill>
    </fill>
    <fill>
      <patternFill patternType="solid">
        <fgColor rgb="FF1E3A8A"/>
        <bgColor rgb="FF374151"/>
      </patternFill>
    </fill>
    <fill>
      <patternFill patternType="solid">
        <fgColor rgb="FF065F46"/>
        <bgColor rgb="FF008000"/>
      </patternFill>
    </fill>
  </fills>
  <borders count="3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medium">
        <color rgb="FF9CA3AF"/>
      </top>
      <bottom style="medium">
        <color rgb="FF9CA3AF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3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1"/>
    </xf>
    <xf numFmtId="164" fontId="13" fillId="2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right" vertical="center"/>
    </xf>
    <xf numFmtId="165" fontId="15" fillId="5" borderId="1" xfId="0" applyNumberFormat="1" applyFont="1" applyFill="1" applyBorder="1" applyAlignment="1">
      <alignment horizontal="right" vertical="center"/>
    </xf>
    <xf numFmtId="166" fontId="13" fillId="2" borderId="1" xfId="0" applyNumberFormat="1" applyFont="1" applyFill="1" applyBorder="1" applyAlignment="1">
      <alignment horizontal="right" vertical="center"/>
    </xf>
    <xf numFmtId="167" fontId="13" fillId="2" borderId="1" xfId="0" applyNumberFormat="1" applyFont="1" applyFill="1" applyBorder="1" applyAlignment="1">
      <alignment horizontal="right" vertical="center"/>
    </xf>
    <xf numFmtId="0" fontId="16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right" vertical="center"/>
    </xf>
    <xf numFmtId="166" fontId="17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6" fillId="0" borderId="1" xfId="0" applyFont="1" applyBorder="1" applyAlignment="1">
      <alignment horizontal="left" vertical="center"/>
    </xf>
    <xf numFmtId="166" fontId="18" fillId="6" borderId="2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166" fontId="18" fillId="7" borderId="2" xfId="0" applyNumberFormat="1" applyFont="1" applyFill="1" applyBorder="1" applyAlignment="1">
      <alignment horizontal="right" vertical="center"/>
    </xf>
    <xf numFmtId="165" fontId="18" fillId="7" borderId="2" xfId="0" applyNumberFormat="1" applyFont="1" applyFill="1" applyBorder="1" applyAlignment="1">
      <alignment horizontal="right" vertical="center"/>
    </xf>
    <xf numFmtId="165" fontId="17" fillId="0" borderId="1" xfId="0" applyNumberFormat="1" applyFont="1" applyBorder="1" applyAlignment="1">
      <alignment horizontal="right" vertical="center"/>
    </xf>
    <xf numFmtId="168" fontId="15" fillId="0" borderId="1" xfId="0" applyNumberFormat="1" applyFont="1" applyBorder="1" applyAlignment="1">
      <alignment horizontal="right" vertical="center"/>
    </xf>
    <xf numFmtId="169" fontId="18" fillId="7" borderId="2" xfId="0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left" vertical="center"/>
    </xf>
    <xf numFmtId="0" fontId="18" fillId="0" borderId="0" xfId="0" applyFont="1" applyAlignment="1">
      <alignment indent="1"/>
    </xf>
    <xf numFmtId="0" fontId="12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16" fillId="0" borderId="1" xfId="0" applyFont="1" applyBorder="1" applyAlignment="1">
      <alignment horizontal="left" vertical="center" indent="1"/>
    </xf>
    <xf numFmtId="164" fontId="17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164" fontId="9" fillId="6" borderId="1" xfId="0" applyNumberFormat="1" applyFont="1" applyFill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 vertical="center"/>
    </xf>
    <xf numFmtId="167" fontId="15" fillId="0" borderId="1" xfId="0" applyNumberFormat="1" applyFont="1" applyBorder="1" applyAlignment="1">
      <alignment horizontal="right" vertical="center"/>
    </xf>
    <xf numFmtId="167" fontId="9" fillId="7" borderId="1" xfId="0" applyNumberFormat="1" applyFont="1" applyFill="1" applyBorder="1" applyAlignment="1">
      <alignment horizontal="right" vertical="center"/>
    </xf>
    <xf numFmtId="167" fontId="9" fillId="9" borderId="1" xfId="0" applyNumberFormat="1" applyFont="1" applyFill="1" applyBorder="1" applyAlignment="1">
      <alignment horizontal="right" vertical="center"/>
    </xf>
    <xf numFmtId="0" fontId="19" fillId="8" borderId="1" xfId="0" applyFont="1" applyFill="1" applyBorder="1" applyAlignment="1">
      <alignment horizontal="left" vertical="center"/>
    </xf>
    <xf numFmtId="0" fontId="0" fillId="8" borderId="1" xfId="0" applyFill="1" applyBorder="1"/>
    <xf numFmtId="167" fontId="9" fillId="6" borderId="1" xfId="0" applyNumberFormat="1" applyFont="1" applyFill="1" applyBorder="1" applyAlignment="1">
      <alignment horizontal="right" vertical="center"/>
    </xf>
    <xf numFmtId="0" fontId="20" fillId="0" borderId="0" xfId="0" applyFont="1"/>
    <xf numFmtId="0" fontId="19" fillId="3" borderId="0" xfId="0" applyFont="1" applyFill="1" applyAlignment="1">
      <alignment horizontal="center"/>
    </xf>
    <xf numFmtId="170" fontId="15" fillId="0" borderId="0" xfId="0" applyNumberFormat="1" applyFont="1"/>
    <xf numFmtId="0" fontId="12" fillId="10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164" fontId="21" fillId="9" borderId="1" xfId="0" applyNumberFormat="1" applyFont="1" applyFill="1" applyBorder="1" applyAlignment="1">
      <alignment horizontal="right" vertical="center"/>
    </xf>
    <xf numFmtId="164" fontId="22" fillId="6" borderId="1" xfId="0" applyNumberFormat="1" applyFont="1" applyFill="1" applyBorder="1" applyAlignment="1">
      <alignment horizontal="right" vertical="center"/>
    </xf>
    <xf numFmtId="164" fontId="23" fillId="7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165" fontId="21" fillId="9" borderId="1" xfId="0" applyNumberFormat="1" applyFont="1" applyFill="1" applyBorder="1" applyAlignment="1">
      <alignment horizontal="right" vertical="center"/>
    </xf>
    <xf numFmtId="165" fontId="22" fillId="6" borderId="1" xfId="0" applyNumberFormat="1" applyFont="1" applyFill="1" applyBorder="1" applyAlignment="1">
      <alignment horizontal="right" vertical="center"/>
    </xf>
    <xf numFmtId="165" fontId="23" fillId="7" borderId="1" xfId="0" applyNumberFormat="1" applyFont="1" applyFill="1" applyBorder="1" applyAlignment="1">
      <alignment horizontal="right" vertical="center"/>
    </xf>
    <xf numFmtId="167" fontId="21" fillId="9" borderId="1" xfId="0" applyNumberFormat="1" applyFont="1" applyFill="1" applyBorder="1" applyAlignment="1">
      <alignment horizontal="right" vertical="center"/>
    </xf>
    <xf numFmtId="167" fontId="22" fillId="6" borderId="1" xfId="0" applyNumberFormat="1" applyFont="1" applyFill="1" applyBorder="1" applyAlignment="1">
      <alignment horizontal="right" vertical="center"/>
    </xf>
    <xf numFmtId="167" fontId="23" fillId="7" borderId="1" xfId="0" applyNumberFormat="1" applyFont="1" applyFill="1" applyBorder="1" applyAlignment="1">
      <alignment horizontal="right" vertical="center"/>
    </xf>
    <xf numFmtId="171" fontId="21" fillId="9" borderId="1" xfId="0" applyNumberFormat="1" applyFont="1" applyFill="1" applyBorder="1" applyAlignment="1">
      <alignment horizontal="right" vertical="center"/>
    </xf>
    <xf numFmtId="171" fontId="22" fillId="6" borderId="1" xfId="0" applyNumberFormat="1" applyFont="1" applyFill="1" applyBorder="1" applyAlignment="1">
      <alignment horizontal="right" vertical="center"/>
    </xf>
    <xf numFmtId="171" fontId="23" fillId="7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6" fillId="9" borderId="1" xfId="0" applyFont="1" applyFill="1" applyBorder="1" applyAlignment="1">
      <alignment horizontal="left" indent="1"/>
    </xf>
    <xf numFmtId="0" fontId="25" fillId="9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indent="1"/>
    </xf>
    <xf numFmtId="164" fontId="26" fillId="0" borderId="1" xfId="0" applyNumberFormat="1" applyFont="1" applyBorder="1" applyAlignment="1">
      <alignment horizontal="right"/>
    </xf>
    <xf numFmtId="0" fontId="25" fillId="0" borderId="1" xfId="0" applyFont="1" applyBorder="1" applyAlignment="1">
      <alignment horizontal="left" vertical="center" indent="1"/>
    </xf>
    <xf numFmtId="164" fontId="27" fillId="0" borderId="1" xfId="0" applyNumberFormat="1" applyFont="1" applyBorder="1" applyAlignment="1">
      <alignment horizontal="right"/>
    </xf>
    <xf numFmtId="0" fontId="25" fillId="9" borderId="1" xfId="0" applyFont="1" applyFill="1" applyBorder="1" applyAlignment="1">
      <alignment horizontal="left" vertical="center" indent="1"/>
    </xf>
    <xf numFmtId="164" fontId="27" fillId="9" borderId="1" xfId="0" applyNumberFormat="1" applyFont="1" applyFill="1" applyBorder="1" applyAlignment="1">
      <alignment horizontal="right"/>
    </xf>
    <xf numFmtId="167" fontId="27" fillId="0" borderId="1" xfId="0" applyNumberFormat="1" applyFont="1" applyBorder="1" applyAlignment="1">
      <alignment horizontal="right"/>
    </xf>
    <xf numFmtId="0" fontId="25" fillId="7" borderId="1" xfId="0" applyFont="1" applyFill="1" applyBorder="1" applyAlignment="1">
      <alignment horizontal="left" vertical="center" indent="1"/>
    </xf>
    <xf numFmtId="167" fontId="27" fillId="7" borderId="1" xfId="0" applyNumberFormat="1" applyFont="1" applyFill="1" applyBorder="1" applyAlignment="1">
      <alignment horizontal="right"/>
    </xf>
    <xf numFmtId="167" fontId="27" fillId="9" borderId="1" xfId="0" applyNumberFormat="1" applyFont="1" applyFill="1" applyBorder="1" applyAlignment="1">
      <alignment horizontal="right"/>
    </xf>
    <xf numFmtId="0" fontId="24" fillId="11" borderId="1" xfId="0" applyFont="1" applyFill="1" applyBorder="1" applyAlignment="1">
      <alignment horizontal="left" vertical="center"/>
    </xf>
    <xf numFmtId="0" fontId="0" fillId="11" borderId="1" xfId="0" applyFill="1" applyBorder="1"/>
    <xf numFmtId="0" fontId="6" fillId="6" borderId="1" xfId="0" applyFont="1" applyFill="1" applyBorder="1" applyAlignment="1">
      <alignment horizontal="left" indent="1"/>
    </xf>
    <xf numFmtId="0" fontId="25" fillId="6" borderId="1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left" vertical="center" indent="1"/>
    </xf>
    <xf numFmtId="164" fontId="27" fillId="6" borderId="1" xfId="0" applyNumberFormat="1" applyFont="1" applyFill="1" applyBorder="1" applyAlignment="1">
      <alignment horizontal="right"/>
    </xf>
    <xf numFmtId="167" fontId="27" fillId="6" borderId="1" xfId="0" applyNumberFormat="1" applyFont="1" applyFill="1" applyBorder="1" applyAlignment="1">
      <alignment horizontal="right"/>
    </xf>
    <xf numFmtId="0" fontId="24" fillId="12" borderId="1" xfId="0" applyFont="1" applyFill="1" applyBorder="1" applyAlignment="1">
      <alignment horizontal="left" vertical="center"/>
    </xf>
    <xf numFmtId="0" fontId="0" fillId="12" borderId="1" xfId="0" applyFill="1" applyBorder="1"/>
    <xf numFmtId="0" fontId="6" fillId="7" borderId="1" xfId="0" applyFont="1" applyFill="1" applyBorder="1" applyAlignment="1">
      <alignment horizontal="left" indent="1"/>
    </xf>
    <xf numFmtId="0" fontId="25" fillId="7" borderId="1" xfId="0" applyFont="1" applyFill="1" applyBorder="1" applyAlignment="1">
      <alignment horizontal="center"/>
    </xf>
    <xf numFmtId="164" fontId="27" fillId="7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/>
    </xf>
    <xf numFmtId="0" fontId="0" fillId="3" borderId="1" xfId="0" applyFill="1" applyBorder="1"/>
    <xf numFmtId="0" fontId="5" fillId="0" borderId="1" xfId="0" applyFont="1" applyBorder="1" applyAlignment="1">
      <alignment vertical="center" indent="1"/>
    </xf>
    <xf numFmtId="0" fontId="14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indent="1"/>
    </xf>
    <xf numFmtId="167" fontId="9" fillId="6" borderId="1" xfId="0" applyNumberFormat="1" applyFont="1" applyFill="1" applyBorder="1" applyAlignment="1">
      <alignment horizontal="right"/>
    </xf>
    <xf numFmtId="1" fontId="13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indent="1"/>
    </xf>
    <xf numFmtId="0" fontId="29" fillId="2" borderId="1" xfId="0" applyFont="1" applyFill="1" applyBorder="1" applyAlignment="1">
      <alignment horizontal="center"/>
    </xf>
    <xf numFmtId="0" fontId="28" fillId="0" borderId="0" xfId="0" applyFont="1"/>
    <xf numFmtId="0" fontId="12" fillId="8" borderId="1" xfId="0" applyFont="1" applyFill="1" applyBorder="1" applyAlignment="1">
      <alignment horizontal="left"/>
    </xf>
    <xf numFmtId="0" fontId="6" fillId="0" borderId="1" xfId="0" applyFont="1" applyBorder="1" applyAlignment="1">
      <alignment vertical="center" indent="1"/>
    </xf>
    <xf numFmtId="167" fontId="4" fillId="7" borderId="1" xfId="0" applyNumberFormat="1" applyFont="1" applyFill="1" applyBorder="1" applyAlignment="1">
      <alignment horizontal="right"/>
    </xf>
    <xf numFmtId="49" fontId="4" fillId="7" borderId="1" xfId="0" applyNumberFormat="1" applyFont="1" applyFill="1" applyBorder="1" applyAlignment="1">
      <alignment horizontal="right"/>
    </xf>
    <xf numFmtId="168" fontId="4" fillId="7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indent="1"/>
    </xf>
    <xf numFmtId="0" fontId="6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indent="1"/>
    </xf>
    <xf numFmtId="167" fontId="15" fillId="0" borderId="1" xfId="0" applyNumberFormat="1" applyFont="1" applyBorder="1" applyAlignment="1">
      <alignment horizontal="right"/>
    </xf>
    <xf numFmtId="167" fontId="17" fillId="0" borderId="1" xfId="0" applyNumberFormat="1" applyFont="1" applyBorder="1" applyAlignment="1">
      <alignment horizontal="right"/>
    </xf>
    <xf numFmtId="167" fontId="9" fillId="7" borderId="1" xfId="0" applyNumberFormat="1" applyFont="1" applyFill="1" applyBorder="1" applyAlignment="1">
      <alignment horizontal="right"/>
    </xf>
    <xf numFmtId="0" fontId="30" fillId="3" borderId="1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9" fillId="10" borderId="1" xfId="0" applyFont="1" applyFill="1" applyBorder="1" applyAlignment="1">
      <alignment horizontal="center"/>
    </xf>
    <xf numFmtId="0" fontId="19" fillId="11" borderId="1" xfId="0" applyFont="1" applyFill="1" applyBorder="1" applyAlignment="1">
      <alignment horizontal="center"/>
    </xf>
    <xf numFmtId="0" fontId="19" fillId="1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167" fontId="21" fillId="9" borderId="1" xfId="0" applyNumberFormat="1" applyFont="1" applyFill="1" applyBorder="1" applyAlignment="1">
      <alignment horizontal="right"/>
    </xf>
    <xf numFmtId="167" fontId="22" fillId="6" borderId="1" xfId="0" applyNumberFormat="1" applyFont="1" applyFill="1" applyBorder="1" applyAlignment="1">
      <alignment horizontal="right"/>
    </xf>
    <xf numFmtId="167" fontId="23" fillId="7" borderId="1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B3B3B3"/>
      <rgbColor rgb="FF808080"/>
      <rgbColor rgb="FF9999FF"/>
      <rgbColor rgb="FF993366"/>
      <rgbColor rgb="FFFEF3C7"/>
      <rgbColor rgb="FFDBEAFE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65F46"/>
      <rgbColor rgb="FF0000FF"/>
      <rgbColor rgb="FF00CCFF"/>
      <rgbColor rgb="FFD9D9D9"/>
      <rgbColor rgb="FFD1FAE5"/>
      <rgbColor rgb="FFFFFF99"/>
      <rgbColor rgb="FF93C5FD"/>
      <rgbColor rgb="FFFF99CC"/>
      <rgbColor rgb="FFCC99FF"/>
      <rgbColor rgb="FFFEE2E2"/>
      <rgbColor rgb="FF2563EB"/>
      <rgbColor rgb="FF33CCCC"/>
      <rgbColor rgb="FF99CC00"/>
      <rgbColor rgb="FFFFCC00"/>
      <rgbColor rgb="FFFF9900"/>
      <rgbColor rgb="FFF97316"/>
      <rgbColor rgb="FF666699"/>
      <rgbColor rgb="FF9CA3AF"/>
      <rgbColor rgb="FF1E1B4B"/>
      <rgbColor rgb="FF339966"/>
      <rgbColor rgb="FF003300"/>
      <rgbColor rgb="FF1A1A2E"/>
      <rgbColor rgb="FF991B1B"/>
      <rgbColor rgb="FF993366"/>
      <rgbColor rgb="FF1E3A8A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Рост пользовательской базы (24 мес)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areaChart>
        <c:grouping val="stacked"/>
        <c:varyColors val="1"/>
        <c:ser>
          <c:idx val="0"/>
          <c:order val="0"/>
          <c:tx>
            <c:v>Free MAU</c:v>
          </c:tx>
          <c:spPr>
            <a:solidFill>
              <a:srgbClr val="93C5FD"/>
            </a:solidFill>
            <a:ln w="0"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'Когортная модель'!$C$5:$Z$5</c:f>
              <c:strCache>
                <c:ptCount val="24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</c:strCache>
            </c:strRef>
          </c:cat>
          <c:val>
            <c:numRef>
              <c:f>'Когортная модель'!$C$9:$Z$9</c:f>
              <c:numCache>
                <c:formatCode>#\ ##0;\(#\ ##0\);\-</c:formatCode>
                <c:ptCount val="24"/>
                <c:pt idx="0">
                  <c:v>1000</c:v>
                </c:pt>
                <c:pt idx="1">
                  <c:v>2130</c:v>
                </c:pt>
                <c:pt idx="2">
                  <c:v>3457.8999999999996</c:v>
                </c:pt>
                <c:pt idx="3">
                  <c:v>5067.0569999999989</c:v>
                </c:pt>
                <c:pt idx="4">
                  <c:v>7061.7573099999991</c:v>
                </c:pt>
                <c:pt idx="5">
                  <c:v>9574.1885672999979</c:v>
                </c:pt>
                <c:pt idx="6">
                  <c:v>12327.833910858997</c:v>
                </c:pt>
                <c:pt idx="7">
                  <c:v>15401.985878012965</c:v>
                </c:pt>
                <c:pt idx="8">
                  <c:v>18884.111082510761</c:v>
                </c:pt>
                <c:pt idx="9">
                  <c:v>22872.358306920731</c:v>
                </c:pt>
                <c:pt idx="10">
                  <c:v>27478.34180269963</c:v>
                </c:pt>
                <c:pt idx="11">
                  <c:v>32830.279297628091</c:v>
                </c:pt>
                <c:pt idx="12">
                  <c:v>38475.178090585199</c:v>
                </c:pt>
                <c:pt idx="13">
                  <c:v>44507.569641566071</c:v>
                </c:pt>
                <c:pt idx="14">
                  <c:v>51023.235248045836</c:v>
                </c:pt>
                <c:pt idx="15">
                  <c:v>58121.071994889564</c:v>
                </c:pt>
                <c:pt idx="16">
                  <c:v>65904.890903451247</c:v>
                </c:pt>
                <c:pt idx="17">
                  <c:v>74485.188735280593</c:v>
                </c:pt>
                <c:pt idx="18">
                  <c:v>83980.931449948868</c:v>
                </c:pt>
                <c:pt idx="19">
                  <c:v>94521.384879083475</c:v>
                </c:pt>
                <c:pt idx="20">
                  <c:v>106248.02663834029</c:v>
                </c:pt>
                <c:pt idx="21">
                  <c:v>119316.57256116759</c:v>
                </c:pt>
                <c:pt idx="22">
                  <c:v>133899.15093127565</c:v>
                </c:pt>
                <c:pt idx="23">
                  <c:v>150186.65846312614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7-B342-A46D-0BE7B9604AFA}"/>
            </c:ext>
          </c:extLst>
        </c:ser>
        <c:ser>
          <c:idx val="1"/>
          <c:order val="1"/>
          <c:tx>
            <c:v>Basic MAU</c:v>
          </c:tx>
          <c:spPr>
            <a:solidFill>
              <a:srgbClr val="2563EB"/>
            </a:solidFill>
            <a:ln w="0"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'Когортная модель'!$C$5:$Z$5</c:f>
              <c:strCache>
                <c:ptCount val="24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</c:strCache>
            </c:strRef>
          </c:cat>
          <c:val>
            <c:numRef>
              <c:f>'Когортная модель'!$C$13:$Z$13</c:f>
              <c:numCache>
                <c:formatCode>#\ ##0;\(#\ ##0\);\-</c:formatCode>
                <c:ptCount val="24"/>
                <c:pt idx="0">
                  <c:v>18</c:v>
                </c:pt>
                <c:pt idx="1">
                  <c:v>34.56</c:v>
                </c:pt>
                <c:pt idx="2">
                  <c:v>70.135200000000012</c:v>
                </c:pt>
                <c:pt idx="3">
                  <c:v>126.76658400000002</c:v>
                </c:pt>
                <c:pt idx="4">
                  <c:v>207.83228328000001</c:v>
                </c:pt>
                <c:pt idx="5">
                  <c:v>318.31733219760002</c:v>
                </c:pt>
                <c:pt idx="6">
                  <c:v>465.18733983319203</c:v>
                </c:pt>
                <c:pt idx="7">
                  <c:v>649.87336304199869</c:v>
                </c:pt>
                <c:pt idx="8">
                  <c:v>875.11923980287224</c:v>
                </c:pt>
                <c:pt idx="9">
                  <c:v>1145.0237001038363</c:v>
                </c:pt>
                <c:pt idx="10">
                  <c:v>1465.1242536201028</c:v>
                </c:pt>
                <c:pt idx="11">
                  <c:v>1842.5244657790881</c:v>
                </c:pt>
                <c:pt idx="12">
                  <c:v>2286.0675358740668</c:v>
                </c:pt>
                <c:pt idx="13">
                  <c:v>2795.7353386346754</c:v>
                </c:pt>
                <c:pt idx="14">
                  <c:v>3373.2127650920906</c:v>
                </c:pt>
                <c:pt idx="15">
                  <c:v>4021.7739783495485</c:v>
                </c:pt>
                <c:pt idx="16">
                  <c:v>4746.211355989597</c:v>
                </c:pt>
                <c:pt idx="17">
                  <c:v>5552.8024837725525</c:v>
                </c:pt>
                <c:pt idx="18">
                  <c:v>6449.311682305799</c:v>
                </c:pt>
                <c:pt idx="19">
                  <c:v>7445.0235138204152</c:v>
                </c:pt>
                <c:pt idx="20">
                  <c:v>8550.8065605382853</c:v>
                </c:pt>
                <c:pt idx="21">
                  <c:v>9779.2065151853476</c:v>
                </c:pt>
                <c:pt idx="22">
                  <c:v>11144.568300071536</c:v>
                </c:pt>
                <c:pt idx="23">
                  <c:v>12663.187552828776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7-B342-A46D-0BE7B9604AFA}"/>
            </c:ext>
          </c:extLst>
        </c:ser>
        <c:ser>
          <c:idx val="2"/>
          <c:order val="2"/>
          <c:tx>
            <c:v>Premium MAU</c:v>
          </c:tx>
          <c:spPr>
            <a:solidFill>
              <a:srgbClr val="1E1B4B"/>
            </a:solidFill>
            <a:ln w="0"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'Когортная модель'!$C$5:$Z$5</c:f>
              <c:strCache>
                <c:ptCount val="24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</c:strCache>
            </c:strRef>
          </c:cat>
          <c:val>
            <c:numRef>
              <c:f>'Когортная модель'!$C$14:$Z$14</c:f>
              <c:numCache>
                <c:formatCode>#\ ##0;\(#\ ##0\);\-</c:formatCode>
                <c:ptCount val="24"/>
                <c:pt idx="0">
                  <c:v>2</c:v>
                </c:pt>
                <c:pt idx="1">
                  <c:v>3.9</c:v>
                </c:pt>
                <c:pt idx="2">
                  <c:v>7.9649999999999999</c:v>
                </c:pt>
                <c:pt idx="3">
                  <c:v>14.48255</c:v>
                </c:pt>
                <c:pt idx="4">
                  <c:v>23.892536499999999</c:v>
                </c:pt>
                <c:pt idx="5">
                  <c:v>36.821424295</c:v>
                </c:pt>
                <c:pt idx="6">
                  <c:v>54.128730214849995</c:v>
                </c:pt>
                <c:pt idx="7">
                  <c:v>76.077961525825486</c:v>
                </c:pt>
                <c:pt idx="8">
                  <c:v>103.07803520556014</c:v>
                </c:pt>
                <c:pt idx="9">
                  <c:v>135.69235561030365</c:v>
                </c:pt>
                <c:pt idx="10">
                  <c:v>174.65245444362992</c:v>
                </c:pt>
                <c:pt idx="11">
                  <c:v>220.87651532684768</c:v>
                </c:pt>
                <c:pt idx="12">
                  <c:v>275.49324815576148</c:v>
                </c:pt>
                <c:pt idx="13">
                  <c:v>338.66894192914378</c:v>
                </c:pt>
                <c:pt idx="14">
                  <c:v>410.75063411581874</c:v>
                </c:pt>
                <c:pt idx="15">
                  <c:v>492.25957290611944</c:v>
                </c:pt>
                <c:pt idx="16">
                  <c:v>583.88873825059261</c:v>
                </c:pt>
                <c:pt idx="17">
                  <c:v>686.50408314496542</c:v>
                </c:pt>
                <c:pt idx="18">
                  <c:v>801.14925645827827</c:v>
                </c:pt>
                <c:pt idx="19">
                  <c:v>929.05365653526201</c:v>
                </c:pt>
                <c:pt idx="20">
                  <c:v>1071.6437434666659</c:v>
                </c:pt>
                <c:pt idx="21">
                  <c:v>1230.5576095700133</c:v>
                </c:pt>
                <c:pt idx="22">
                  <c:v>1407.6628742138478</c:v>
                </c:pt>
                <c:pt idx="23">
                  <c:v>1605.0780323657068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77-B342-A46D-0BE7B9604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36431"/>
        <c:axId val="75869755"/>
      </c:areaChart>
      <c:catAx>
        <c:axId val="1503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75869755"/>
        <c:crosses val="autoZero"/>
        <c:auto val="1"/>
        <c:lblAlgn val="ctr"/>
        <c:lblOffset val="100"/>
        <c:noMultiLvlLbl val="0"/>
      </c:catAx>
      <c:valAx>
        <c:axId val="7586975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\ ##0;\(#\ ##0\);\-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5036431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Выручка по источникам ($/мес)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Basic подписки</c:v>
          </c:tx>
          <c:spPr>
            <a:solidFill>
              <a:srgbClr val="2563E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'Когортная модель'!$C$5:$Z$5</c:f>
              <c:strCache>
                <c:ptCount val="24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</c:strCache>
            </c:strRef>
          </c:cat>
          <c:val>
            <c:numRef>
              <c:f>'Когортная модель'!$C$20:$Z$20</c:f>
              <c:numCache>
                <c:formatCode>\$#\ ##0;"($"#\ ##0\);\-</c:formatCode>
                <c:ptCount val="24"/>
                <c:pt idx="0">
                  <c:v>360</c:v>
                </c:pt>
                <c:pt idx="1">
                  <c:v>691.2</c:v>
                </c:pt>
                <c:pt idx="2">
                  <c:v>1402.7040000000002</c:v>
                </c:pt>
                <c:pt idx="3">
                  <c:v>2535.3316800000002</c:v>
                </c:pt>
                <c:pt idx="4">
                  <c:v>4156.6456656</c:v>
                </c:pt>
                <c:pt idx="5">
                  <c:v>6366.3466439520007</c:v>
                </c:pt>
                <c:pt idx="6">
                  <c:v>9303.7467966638396</c:v>
                </c:pt>
                <c:pt idx="7">
                  <c:v>12997.467260839974</c:v>
                </c:pt>
                <c:pt idx="8">
                  <c:v>17502.384796057446</c:v>
                </c:pt>
                <c:pt idx="9">
                  <c:v>22900.474002076728</c:v>
                </c:pt>
                <c:pt idx="10">
                  <c:v>29302.485072402054</c:v>
                </c:pt>
                <c:pt idx="11">
                  <c:v>36850.489315581763</c:v>
                </c:pt>
                <c:pt idx="12">
                  <c:v>45721.350717481335</c:v>
                </c:pt>
                <c:pt idx="13">
                  <c:v>55914.706772693506</c:v>
                </c:pt>
                <c:pt idx="14">
                  <c:v>67464.255301841811</c:v>
                </c:pt>
                <c:pt idx="15">
                  <c:v>80435.479566990965</c:v>
                </c:pt>
                <c:pt idx="16">
                  <c:v>94924.227119791933</c:v>
                </c:pt>
                <c:pt idx="17">
                  <c:v>111056.04967545105</c:v>
                </c:pt>
                <c:pt idx="18">
                  <c:v>128986.23364611599</c:v>
                </c:pt>
                <c:pt idx="19">
                  <c:v>148900.4702764083</c:v>
                </c:pt>
                <c:pt idx="20">
                  <c:v>171016.13121076571</c:v>
                </c:pt>
                <c:pt idx="21">
                  <c:v>195584.13030370694</c:v>
                </c:pt>
                <c:pt idx="22">
                  <c:v>222891.36600143072</c:v>
                </c:pt>
                <c:pt idx="23">
                  <c:v>253263.75105657554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2-524E-9A08-5E65139C2A91}"/>
            </c:ext>
          </c:extLst>
        </c:ser>
        <c:ser>
          <c:idx val="1"/>
          <c:order val="1"/>
          <c:tx>
            <c:v>Premium подписки</c:v>
          </c:tx>
          <c:spPr>
            <a:solidFill>
              <a:srgbClr val="1E1B4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'Когортная модель'!$C$5:$Z$5</c:f>
              <c:strCache>
                <c:ptCount val="24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</c:strCache>
            </c:strRef>
          </c:cat>
          <c:val>
            <c:numRef>
              <c:f>'Когортная модель'!$C$21:$Z$21</c:f>
              <c:numCache>
                <c:formatCode>\$#\ ##0;"($"#\ ##0\);\-</c:formatCode>
                <c:ptCount val="24"/>
                <c:pt idx="0">
                  <c:v>200</c:v>
                </c:pt>
                <c:pt idx="1">
                  <c:v>390</c:v>
                </c:pt>
                <c:pt idx="2">
                  <c:v>796.5</c:v>
                </c:pt>
                <c:pt idx="3">
                  <c:v>1448.2549999999999</c:v>
                </c:pt>
                <c:pt idx="4">
                  <c:v>2389.2536499999997</c:v>
                </c:pt>
                <c:pt idx="5">
                  <c:v>3682.1424295000002</c:v>
                </c:pt>
                <c:pt idx="6">
                  <c:v>5412.8730214849993</c:v>
                </c:pt>
                <c:pt idx="7">
                  <c:v>7607.7961525825485</c:v>
                </c:pt>
                <c:pt idx="8">
                  <c:v>10307.803520556014</c:v>
                </c:pt>
                <c:pt idx="9">
                  <c:v>13569.235561030366</c:v>
                </c:pt>
                <c:pt idx="10">
                  <c:v>17465.24544436299</c:v>
                </c:pt>
                <c:pt idx="11">
                  <c:v>22087.651532684769</c:v>
                </c:pt>
                <c:pt idx="12">
                  <c:v>27549.324815576147</c:v>
                </c:pt>
                <c:pt idx="13">
                  <c:v>33866.894192914377</c:v>
                </c:pt>
                <c:pt idx="14">
                  <c:v>41075.063411581876</c:v>
                </c:pt>
                <c:pt idx="15">
                  <c:v>49225.957290611943</c:v>
                </c:pt>
                <c:pt idx="16">
                  <c:v>58388.873825059258</c:v>
                </c:pt>
                <c:pt idx="17">
                  <c:v>68650.408314496541</c:v>
                </c:pt>
                <c:pt idx="18">
                  <c:v>80114.925645827825</c:v>
                </c:pt>
                <c:pt idx="19">
                  <c:v>92905.365653526198</c:v>
                </c:pt>
                <c:pt idx="20">
                  <c:v>107164.37434666659</c:v>
                </c:pt>
                <c:pt idx="21">
                  <c:v>123055.76095700133</c:v>
                </c:pt>
                <c:pt idx="22">
                  <c:v>140766.28742138477</c:v>
                </c:pt>
                <c:pt idx="23">
                  <c:v>160507.80323657067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2-524E-9A08-5E65139C2A91}"/>
            </c:ext>
          </c:extLst>
        </c:ser>
        <c:ser>
          <c:idx val="2"/>
          <c:order val="2"/>
          <c:tx>
            <c:v>Реклама</c:v>
          </c:tx>
          <c:spPr>
            <a:solidFill>
              <a:srgbClr val="F9731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'Когортная модель'!$C$5:$Z$5</c:f>
              <c:strCache>
                <c:ptCount val="24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</c:strCache>
            </c:strRef>
          </c:cat>
          <c:val>
            <c:numRef>
              <c:f>'Когортная модель'!$C$22:$Z$22</c:f>
              <c:numCache>
                <c:formatCode>\$#\ ##0;"($"#\ ##0\);\-</c:formatCode>
                <c:ptCount val="24"/>
                <c:pt idx="0">
                  <c:v>750</c:v>
                </c:pt>
                <c:pt idx="1">
                  <c:v>1597.5</c:v>
                </c:pt>
                <c:pt idx="2">
                  <c:v>2593.4249999999997</c:v>
                </c:pt>
                <c:pt idx="3">
                  <c:v>3800.2927499999992</c:v>
                </c:pt>
                <c:pt idx="4">
                  <c:v>5296.3179824999988</c:v>
                </c:pt>
                <c:pt idx="5">
                  <c:v>7180.641425474998</c:v>
                </c:pt>
                <c:pt idx="6">
                  <c:v>9245.8754331442469</c:v>
                </c:pt>
                <c:pt idx="7">
                  <c:v>11551.489408509724</c:v>
                </c:pt>
                <c:pt idx="8">
                  <c:v>14163.083311883071</c:v>
                </c:pt>
                <c:pt idx="9">
                  <c:v>17154.268730190546</c:v>
                </c:pt>
                <c:pt idx="10">
                  <c:v>20608.75635202472</c:v>
                </c:pt>
                <c:pt idx="11">
                  <c:v>24622.709473221068</c:v>
                </c:pt>
                <c:pt idx="12">
                  <c:v>28856.383567938901</c:v>
                </c:pt>
                <c:pt idx="13">
                  <c:v>33380.677231174552</c:v>
                </c:pt>
                <c:pt idx="14">
                  <c:v>38267.42643603438</c:v>
                </c:pt>
                <c:pt idx="15">
                  <c:v>43590.803996167175</c:v>
                </c:pt>
                <c:pt idx="16">
                  <c:v>49428.668177588435</c:v>
                </c:pt>
                <c:pt idx="17">
                  <c:v>55863.891551460445</c:v>
                </c:pt>
                <c:pt idx="18">
                  <c:v>62985.698587461651</c:v>
                </c:pt>
                <c:pt idx="19">
                  <c:v>70891.038659312602</c:v>
                </c:pt>
                <c:pt idx="20">
                  <c:v>79686.019978755212</c:v>
                </c:pt>
                <c:pt idx="21">
                  <c:v>89487.429420875691</c:v>
                </c:pt>
                <c:pt idx="22">
                  <c:v>100424.36319845673</c:v>
                </c:pt>
                <c:pt idx="23">
                  <c:v>112639.99384734459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92-524E-9A08-5E65139C2A91}"/>
            </c:ext>
          </c:extLst>
        </c:ser>
        <c:ser>
          <c:idx val="3"/>
          <c:order val="3"/>
          <c:tx>
            <c:v>Продажа данных</c:v>
          </c:tx>
          <c:spPr>
            <a:solidFill>
              <a:srgbClr val="05966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'Когортная модель'!$C$5:$Z$5</c:f>
              <c:strCache>
                <c:ptCount val="24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</c:strCache>
            </c:strRef>
          </c:cat>
          <c:val>
            <c:numRef>
              <c:f>'Когортная модель'!$C$23:$Z$23</c:f>
              <c:numCache>
                <c:formatCode>\$#\ ##0;"($"#\ ##0\);\-</c:formatCode>
                <c:ptCount val="24"/>
                <c:pt idx="0">
                  <c:v>204</c:v>
                </c:pt>
                <c:pt idx="1">
                  <c:v>433.69200000000001</c:v>
                </c:pt>
                <c:pt idx="2">
                  <c:v>707.20004000000006</c:v>
                </c:pt>
                <c:pt idx="3">
                  <c:v>1041.6612267999997</c:v>
                </c:pt>
                <c:pt idx="4">
                  <c:v>1458.696425956</c:v>
                </c:pt>
                <c:pt idx="5">
                  <c:v>1985.8654647585195</c:v>
                </c:pt>
                <c:pt idx="6">
                  <c:v>2569.4299961814081</c:v>
                </c:pt>
                <c:pt idx="7">
                  <c:v>3225.587440516158</c:v>
                </c:pt>
                <c:pt idx="8">
                  <c:v>3972.4616715038387</c:v>
                </c:pt>
                <c:pt idx="9">
                  <c:v>4830.6148725269741</c:v>
                </c:pt>
                <c:pt idx="10">
                  <c:v>5823.6237021526722</c:v>
                </c:pt>
                <c:pt idx="11">
                  <c:v>6978.7360557468055</c:v>
                </c:pt>
                <c:pt idx="12">
                  <c:v>8207.347774923006</c:v>
                </c:pt>
                <c:pt idx="13">
                  <c:v>9528.3947844259783</c:v>
                </c:pt>
                <c:pt idx="14">
                  <c:v>10961.439729450751</c:v>
                </c:pt>
                <c:pt idx="15">
                  <c:v>12527.021109229048</c:v>
                </c:pt>
                <c:pt idx="16">
                  <c:v>14246.998199538288</c:v>
                </c:pt>
                <c:pt idx="17">
                  <c:v>16144.899060439622</c:v>
                </c:pt>
                <c:pt idx="18">
                  <c:v>18246.278477742588</c:v>
                </c:pt>
                <c:pt idx="19">
                  <c:v>20579.092409887831</c:v>
                </c:pt>
                <c:pt idx="20">
                  <c:v>23174.09538846905</c:v>
                </c:pt>
                <c:pt idx="21">
                  <c:v>26065.267337184589</c:v>
                </c:pt>
                <c:pt idx="22">
                  <c:v>29290.276421112212</c:v>
                </c:pt>
                <c:pt idx="23">
                  <c:v>32890.984809664129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92-524E-9A08-5E65139C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366870"/>
        <c:axId val="97399581"/>
      </c:barChart>
      <c:catAx>
        <c:axId val="6636687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Месяц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97399581"/>
        <c:crosses val="autoZero"/>
        <c:auto val="1"/>
        <c:lblAlgn val="ctr"/>
        <c:lblOffset val="100"/>
        <c:noMultiLvlLbl val="0"/>
      </c:catAx>
      <c:valAx>
        <c:axId val="9739958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Revenue, 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636687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Выручка vs Себестоимость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Выручка</c:v>
          </c:tx>
          <c:spPr>
            <a:ln w="28080">
              <a:solidFill>
                <a:srgbClr val="05966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'Когортная модель'!$C$5:$Z$5</c:f>
              <c:strCache>
                <c:ptCount val="24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</c:strCache>
            </c:strRef>
          </c:cat>
          <c:val>
            <c:numRef>
              <c:f>'Когортная модель'!$C$24:$Z$24</c:f>
              <c:numCache>
                <c:formatCode>\$#\ ##0;"($"#\ ##0\);\-</c:formatCode>
                <c:ptCount val="24"/>
                <c:pt idx="0">
                  <c:v>1514</c:v>
                </c:pt>
                <c:pt idx="1">
                  <c:v>3112.3919999999998</c:v>
                </c:pt>
                <c:pt idx="2">
                  <c:v>5499.8290399999996</c:v>
                </c:pt>
                <c:pt idx="3">
                  <c:v>8825.540656799998</c:v>
                </c:pt>
                <c:pt idx="4">
                  <c:v>13300.913724055998</c:v>
                </c:pt>
                <c:pt idx="5">
                  <c:v>19214.99596368552</c:v>
                </c:pt>
                <c:pt idx="6">
                  <c:v>26531.925247474494</c:v>
                </c:pt>
                <c:pt idx="7">
                  <c:v>35382.340262448408</c:v>
                </c:pt>
                <c:pt idx="8">
                  <c:v>45945.733300000364</c:v>
                </c:pt>
                <c:pt idx="9">
                  <c:v>58454.593165824612</c:v>
                </c:pt>
                <c:pt idx="10">
                  <c:v>73200.110570942445</c:v>
                </c:pt>
                <c:pt idx="11">
                  <c:v>90539.586377234402</c:v>
                </c:pt>
                <c:pt idx="12">
                  <c:v>110334.40687591939</c:v>
                </c:pt>
                <c:pt idx="13">
                  <c:v>132690.67298120839</c:v>
                </c:pt>
                <c:pt idx="14">
                  <c:v>157768.1848789088</c:v>
                </c:pt>
                <c:pt idx="15">
                  <c:v>185779.26196299912</c:v>
                </c:pt>
                <c:pt idx="16">
                  <c:v>216988.76732197791</c:v>
                </c:pt>
                <c:pt idx="17">
                  <c:v>251715.24860184762</c:v>
                </c:pt>
                <c:pt idx="18">
                  <c:v>290333.13635714806</c:v>
                </c:pt>
                <c:pt idx="19">
                  <c:v>333275.96699913492</c:v>
                </c:pt>
                <c:pt idx="20">
                  <c:v>381040.62092465657</c:v>
                </c:pt>
                <c:pt idx="21">
                  <c:v>434192.58801876853</c:v>
                </c:pt>
                <c:pt idx="22">
                  <c:v>493372.29304238444</c:v>
                </c:pt>
                <c:pt idx="23">
                  <c:v>559302.53295015497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310-E041-AE9D-848DD78B6BEC}"/>
            </c:ext>
          </c:extLst>
        </c:ser>
        <c:ser>
          <c:idx val="1"/>
          <c:order val="1"/>
          <c:tx>
            <c:v>Себестоимость</c:v>
          </c:tx>
          <c:spPr>
            <a:ln w="28080">
              <a:solidFill>
                <a:srgbClr val="DC262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'Когортная модель'!$C$5:$Z$5</c:f>
              <c:strCache>
                <c:ptCount val="24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</c:strCache>
            </c:strRef>
          </c:cat>
          <c:val>
            <c:numRef>
              <c:f>'Когортная модель'!$C$34:$Z$34</c:f>
              <c:numCache>
                <c:formatCode>\$#\ ##0;"($"#\ ##0\);\-</c:formatCode>
                <c:ptCount val="24"/>
                <c:pt idx="0">
                  <c:v>1976.056</c:v>
                </c:pt>
                <c:pt idx="1">
                  <c:v>2914.8913200000002</c:v>
                </c:pt>
                <c:pt idx="2">
                  <c:v>4298.9065843999997</c:v>
                </c:pt>
                <c:pt idx="3">
                  <c:v>6218.8531499479996</c:v>
                </c:pt>
                <c:pt idx="4">
                  <c:v>8801.0451598011605</c:v>
                </c:pt>
                <c:pt idx="5">
                  <c:v>12216.533114229736</c:v>
                </c:pt>
                <c:pt idx="6">
                  <c:v>15923.554648121974</c:v>
                </c:pt>
                <c:pt idx="7">
                  <c:v>20428.45521127832</c:v>
                </c:pt>
                <c:pt idx="8">
                  <c:v>25826.816293758668</c:v>
                </c:pt>
                <c:pt idx="9">
                  <c:v>32241.400547908543</c:v>
                </c:pt>
                <c:pt idx="10">
                  <c:v>39825.216389832844</c:v>
                </c:pt>
                <c:pt idx="11">
                  <c:v>48765.45490994073</c:v>
                </c:pt>
                <c:pt idx="12">
                  <c:v>58249.430248321274</c:v>
                </c:pt>
                <c:pt idx="13">
                  <c:v>69012.786011218937</c:v>
                </c:pt>
                <c:pt idx="14">
                  <c:v>81134.731011194002</c:v>
                </c:pt>
                <c:pt idx="15">
                  <c:v>94720.116309399062</c:v>
                </c:pt>
                <c:pt idx="16">
                  <c:v>109899.51471126519</c:v>
                </c:pt>
                <c:pt idx="17">
                  <c:v>126829.83842867671</c:v>
                </c:pt>
                <c:pt idx="18">
                  <c:v>145695.4681639068</c:v>
                </c:pt>
                <c:pt idx="19">
                  <c:v>166709.8792998156</c:v>
                </c:pt>
                <c:pt idx="20">
                  <c:v>190117.76213408035</c:v>
                </c:pt>
                <c:pt idx="21">
                  <c:v>216197.64348558959</c:v>
                </c:pt>
                <c:pt idx="22">
                  <c:v>245265.02680195327</c:v>
                </c:pt>
                <c:pt idx="23">
                  <c:v>277676.07735039247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310-E041-AE9D-848DD78B6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3814684"/>
        <c:axId val="53698045"/>
      </c:lineChart>
      <c:catAx>
        <c:axId val="838146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Месяц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53698045"/>
        <c:crosses val="autoZero"/>
        <c:auto val="1"/>
        <c:lblAlgn val="ctr"/>
        <c:lblOffset val="100"/>
        <c:noMultiLvlLbl val="0"/>
      </c:catAx>
      <c:valAx>
        <c:axId val="5369804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$/мес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838146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Накопленная контрибуция (путь к прибыльности)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Cumulative contribution</c:v>
          </c:tx>
          <c:spPr>
            <a:ln w="32040">
              <a:solidFill>
                <a:srgbClr val="1A1A2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'Когортная модель'!$C$5:$Z$5</c:f>
              <c:strCache>
                <c:ptCount val="24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</c:strCache>
            </c:strRef>
          </c:cat>
          <c:val>
            <c:numRef>
              <c:f>'Когортная модель'!$C$39:$Z$39</c:f>
              <c:numCache>
                <c:formatCode>\$#\ ##0;"($"#\ ##0\);\-</c:formatCode>
                <c:ptCount val="24"/>
                <c:pt idx="0">
                  <c:v>-462.05600000000004</c:v>
                </c:pt>
                <c:pt idx="1">
                  <c:v>-264.55532000000039</c:v>
                </c:pt>
                <c:pt idx="2">
                  <c:v>936.36713559999953</c:v>
                </c:pt>
                <c:pt idx="3">
                  <c:v>3543.054642451998</c:v>
                </c:pt>
                <c:pt idx="4">
                  <c:v>8042.9232067068351</c:v>
                </c:pt>
                <c:pt idx="5">
                  <c:v>15041.386056162619</c:v>
                </c:pt>
                <c:pt idx="6">
                  <c:v>25649.756655515139</c:v>
                </c:pt>
                <c:pt idx="7">
                  <c:v>40603.64170668523</c:v>
                </c:pt>
                <c:pt idx="8">
                  <c:v>60722.558712926926</c:v>
                </c:pt>
                <c:pt idx="9">
                  <c:v>86935.751330842992</c:v>
                </c:pt>
                <c:pt idx="10">
                  <c:v>120310.64551195259</c:v>
                </c:pt>
                <c:pt idx="11">
                  <c:v>162084.77697924626</c:v>
                </c:pt>
                <c:pt idx="12">
                  <c:v>214169.75360684437</c:v>
                </c:pt>
                <c:pt idx="13">
                  <c:v>277847.64057683386</c:v>
                </c:pt>
                <c:pt idx="14">
                  <c:v>354481.09444454865</c:v>
                </c:pt>
                <c:pt idx="15">
                  <c:v>445540.2400981487</c:v>
                </c:pt>
                <c:pt idx="16">
                  <c:v>552629.49270886136</c:v>
                </c:pt>
                <c:pt idx="17">
                  <c:v>677514.90288203233</c:v>
                </c:pt>
                <c:pt idx="18">
                  <c:v>822152.57107527356</c:v>
                </c:pt>
                <c:pt idx="19">
                  <c:v>988718.65877459291</c:v>
                </c:pt>
                <c:pt idx="20">
                  <c:v>1179641.5175651691</c:v>
                </c:pt>
                <c:pt idx="21">
                  <c:v>1397636.462098348</c:v>
                </c:pt>
                <c:pt idx="22">
                  <c:v>1645743.7283387792</c:v>
                </c:pt>
                <c:pt idx="23">
                  <c:v>1927370.1839385417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5D0-F647-8694-30E1C8450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20660544"/>
        <c:axId val="71231441"/>
      </c:lineChart>
      <c:catAx>
        <c:axId val="206605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Месяц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71231441"/>
        <c:crosses val="autoZero"/>
        <c:auto val="1"/>
        <c:lblAlgn val="ctr"/>
        <c:lblOffset val="100"/>
        <c:noMultiLvlLbl val="0"/>
      </c:catAx>
      <c:valAx>
        <c:axId val="7123144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Накопленная маржа, 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2066054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Выручка / Cost / Контрибуция по тирам ($/MAU)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Графики!$C$90</c:f>
              <c:strCache>
                <c:ptCount val="1"/>
                <c:pt idx="0">
                  <c:v>Выручка</c:v>
                </c:pt>
              </c:strCache>
            </c:strRef>
          </c:tx>
          <c:spPr>
            <a:solidFill>
              <a:srgbClr val="2563E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Графики!$B$91:$B$93</c:f>
              <c:strCache>
                <c:ptCount val="3"/>
                <c:pt idx="0">
                  <c:v>Free</c:v>
                </c:pt>
                <c:pt idx="1">
                  <c:v>Basic $20</c:v>
                </c:pt>
                <c:pt idx="2">
                  <c:v>Premium $100</c:v>
                </c:pt>
              </c:strCache>
            </c:strRef>
          </c:cat>
          <c:val>
            <c:numRef>
              <c:f>Графики!$C$91:$C$93</c:f>
              <c:numCache>
                <c:formatCode>\$#\ ##0.00</c:formatCode>
                <c:ptCount val="3"/>
                <c:pt idx="0">
                  <c:v>0.95</c:v>
                </c:pt>
                <c:pt idx="1">
                  <c:v>20.2</c:v>
                </c:pt>
                <c:pt idx="2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1-E149-803F-3F8DEBA5FFF2}"/>
            </c:ext>
          </c:extLst>
        </c:ser>
        <c:ser>
          <c:idx val="1"/>
          <c:order val="1"/>
          <c:tx>
            <c:strRef>
              <c:f>Графики!$D$90</c:f>
              <c:strCache>
                <c:ptCount val="1"/>
                <c:pt idx="0">
                  <c:v>Себестоимость</c:v>
                </c:pt>
              </c:strCache>
            </c:strRef>
          </c:tx>
          <c:spPr>
            <a:solidFill>
              <a:srgbClr val="DC262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Графики!$B$91:$B$93</c:f>
              <c:strCache>
                <c:ptCount val="3"/>
                <c:pt idx="0">
                  <c:v>Free</c:v>
                </c:pt>
                <c:pt idx="1">
                  <c:v>Basic $20</c:v>
                </c:pt>
                <c:pt idx="2">
                  <c:v>Premium $100</c:v>
                </c:pt>
              </c:strCache>
            </c:strRef>
          </c:cat>
          <c:val>
            <c:numRef>
              <c:f>Графики!$D$91:$D$93</c:f>
              <c:numCache>
                <c:formatCode>\$#\ ##0.00</c:formatCode>
                <c:ptCount val="3"/>
                <c:pt idx="0">
                  <c:v>0.22760000000000002</c:v>
                </c:pt>
                <c:pt idx="1">
                  <c:v>8.1220000000000017</c:v>
                </c:pt>
                <c:pt idx="2">
                  <c:v>51.129999999999995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1-E149-803F-3F8DEBA5FFF2}"/>
            </c:ext>
          </c:extLst>
        </c:ser>
        <c:ser>
          <c:idx val="2"/>
          <c:order val="2"/>
          <c:tx>
            <c:strRef>
              <c:f>Графики!$E$90</c:f>
              <c:strCache>
                <c:ptCount val="1"/>
                <c:pt idx="0">
                  <c:v>Контрибуция</c:v>
                </c:pt>
              </c:strCache>
            </c:strRef>
          </c:tx>
          <c:spPr>
            <a:solidFill>
              <a:srgbClr val="05966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Графики!$B$91:$B$93</c:f>
              <c:strCache>
                <c:ptCount val="3"/>
                <c:pt idx="0">
                  <c:v>Free</c:v>
                </c:pt>
                <c:pt idx="1">
                  <c:v>Basic $20</c:v>
                </c:pt>
                <c:pt idx="2">
                  <c:v>Premium $100</c:v>
                </c:pt>
              </c:strCache>
            </c:strRef>
          </c:cat>
          <c:val>
            <c:numRef>
              <c:f>Графики!$E$91:$E$93</c:f>
              <c:numCache>
                <c:formatCode>\$#\ ##0.00</c:formatCode>
                <c:ptCount val="3"/>
                <c:pt idx="0">
                  <c:v>0.72239999999999993</c:v>
                </c:pt>
                <c:pt idx="1">
                  <c:v>12.077999999999998</c:v>
                </c:pt>
                <c:pt idx="2">
                  <c:v>49.070000000000007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61-E149-803F-3F8DEBA5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8333"/>
        <c:axId val="70154464"/>
      </c:barChart>
      <c:catAx>
        <c:axId val="32883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70154464"/>
        <c:crosses val="autoZero"/>
        <c:auto val="1"/>
        <c:lblAlgn val="ctr"/>
        <c:lblOffset val="100"/>
        <c:noMultiLvlLbl val="0"/>
      </c:catAx>
      <c:valAx>
        <c:axId val="7015446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$/MAU/мес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32883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Накопленная денежная позиция (M0 → M24)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Накопленный кэш</c:v>
          </c:tx>
          <c:spPr>
            <a:ln w="32040">
              <a:solidFill>
                <a:srgbClr val="1A1A2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'Cash Flow'!$C$27:$AA$27</c:f>
              <c:strCache>
                <c:ptCount val="25"/>
                <c:pt idx="0">
                  <c:v>M0</c:v>
                </c:pt>
                <c:pt idx="1">
                  <c:v>M1</c:v>
                </c:pt>
                <c:pt idx="2">
                  <c:v>M2</c:v>
                </c:pt>
                <c:pt idx="3">
                  <c:v>M3</c:v>
                </c:pt>
                <c:pt idx="4">
                  <c:v>M4</c:v>
                </c:pt>
                <c:pt idx="5">
                  <c:v>M5</c:v>
                </c:pt>
                <c:pt idx="6">
                  <c:v>M6</c:v>
                </c:pt>
                <c:pt idx="7">
                  <c:v>M7</c:v>
                </c:pt>
                <c:pt idx="8">
                  <c:v>M8</c:v>
                </c:pt>
                <c:pt idx="9">
                  <c:v>M9</c:v>
                </c:pt>
                <c:pt idx="10">
                  <c:v>M10</c:v>
                </c:pt>
                <c:pt idx="11">
                  <c:v>M11</c:v>
                </c:pt>
                <c:pt idx="12">
                  <c:v>M12</c:v>
                </c:pt>
                <c:pt idx="13">
                  <c:v>M13</c:v>
                </c:pt>
                <c:pt idx="14">
                  <c:v>M14</c:v>
                </c:pt>
                <c:pt idx="15">
                  <c:v>M15</c:v>
                </c:pt>
                <c:pt idx="16">
                  <c:v>M16</c:v>
                </c:pt>
                <c:pt idx="17">
                  <c:v>M17</c:v>
                </c:pt>
                <c:pt idx="18">
                  <c:v>M18</c:v>
                </c:pt>
                <c:pt idx="19">
                  <c:v>M19</c:v>
                </c:pt>
                <c:pt idx="20">
                  <c:v>M20</c:v>
                </c:pt>
                <c:pt idx="21">
                  <c:v>M21</c:v>
                </c:pt>
                <c:pt idx="22">
                  <c:v>M22</c:v>
                </c:pt>
                <c:pt idx="23">
                  <c:v>M23</c:v>
                </c:pt>
                <c:pt idx="24">
                  <c:v>M24</c:v>
                </c:pt>
              </c:strCache>
            </c:strRef>
          </c:cat>
          <c:val>
            <c:numRef>
              <c:f>'Cash Flow'!$C$32:$AA$32</c:f>
              <c:numCache>
                <c:formatCode>\$#\ ##0;"($"#\ ##0\);\-</c:formatCode>
                <c:ptCount val="25"/>
                <c:pt idx="0">
                  <c:v>-30000</c:v>
                </c:pt>
                <c:pt idx="1">
                  <c:v>-60462.055999999997</c:v>
                </c:pt>
                <c:pt idx="2">
                  <c:v>-65264.555319999999</c:v>
                </c:pt>
                <c:pt idx="3">
                  <c:v>-69063.632864400002</c:v>
                </c:pt>
                <c:pt idx="4">
                  <c:v>-71456.945357548</c:v>
                </c:pt>
                <c:pt idx="5">
                  <c:v>-71957.076793293163</c:v>
                </c:pt>
                <c:pt idx="6">
                  <c:v>-69958.613943837379</c:v>
                </c:pt>
                <c:pt idx="7">
                  <c:v>-64350.243344484858</c:v>
                </c:pt>
                <c:pt idx="8">
                  <c:v>-54396.35829331477</c:v>
                </c:pt>
                <c:pt idx="9">
                  <c:v>-39277.441287073074</c:v>
                </c:pt>
                <c:pt idx="10">
                  <c:v>-18064.248669157005</c:v>
                </c:pt>
                <c:pt idx="11">
                  <c:v>10310.645511952596</c:v>
                </c:pt>
                <c:pt idx="12">
                  <c:v>47084.776979246264</c:v>
                </c:pt>
                <c:pt idx="13">
                  <c:v>94169.753606844373</c:v>
                </c:pt>
                <c:pt idx="14">
                  <c:v>152847.64057683383</c:v>
                </c:pt>
                <c:pt idx="15">
                  <c:v>224481.09444454862</c:v>
                </c:pt>
                <c:pt idx="16">
                  <c:v>310540.2400981487</c:v>
                </c:pt>
                <c:pt idx="17">
                  <c:v>412629.49270886142</c:v>
                </c:pt>
                <c:pt idx="18">
                  <c:v>532514.90288203233</c:v>
                </c:pt>
                <c:pt idx="19">
                  <c:v>672152.57107527356</c:v>
                </c:pt>
                <c:pt idx="20">
                  <c:v>833718.65877459291</c:v>
                </c:pt>
                <c:pt idx="21">
                  <c:v>1019641.5175651691</c:v>
                </c:pt>
                <c:pt idx="22">
                  <c:v>1232636.462098348</c:v>
                </c:pt>
                <c:pt idx="23">
                  <c:v>1475743.7283387792</c:v>
                </c:pt>
                <c:pt idx="24">
                  <c:v>1752370.1839385417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BFA-E44C-A399-2DC75CEA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3868002"/>
        <c:axId val="69535081"/>
      </c:lineChart>
      <c:catAx>
        <c:axId val="738680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Месяц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9535081"/>
        <c:crosses val="autoZero"/>
        <c:auto val="1"/>
        <c:lblAlgn val="ctr"/>
        <c:lblOffset val="100"/>
        <c:noMultiLvlLbl val="0"/>
      </c:catAx>
      <c:valAx>
        <c:axId val="6953508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Cumulative Cash, 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7386800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101160</xdr:rowOff>
    </xdr:from>
    <xdr:to>
      <xdr:col>12</xdr:col>
      <xdr:colOff>469080</xdr:colOff>
      <xdr:row>21</xdr:row>
      <xdr:rowOff>77040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23</xdr:row>
      <xdr:rowOff>100800</xdr:rowOff>
    </xdr:from>
    <xdr:to>
      <xdr:col>12</xdr:col>
      <xdr:colOff>469080</xdr:colOff>
      <xdr:row>42</xdr:row>
      <xdr:rowOff>76680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44</xdr:row>
      <xdr:rowOff>101160</xdr:rowOff>
    </xdr:from>
    <xdr:to>
      <xdr:col>12</xdr:col>
      <xdr:colOff>469080</xdr:colOff>
      <xdr:row>63</xdr:row>
      <xdr:rowOff>77040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65</xdr:row>
      <xdr:rowOff>100800</xdr:rowOff>
    </xdr:from>
    <xdr:to>
      <xdr:col>12</xdr:col>
      <xdr:colOff>469080</xdr:colOff>
      <xdr:row>84</xdr:row>
      <xdr:rowOff>76680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0</xdr:colOff>
      <xdr:row>86</xdr:row>
      <xdr:rowOff>101160</xdr:rowOff>
    </xdr:from>
    <xdr:to>
      <xdr:col>16</xdr:col>
      <xdr:colOff>360360</xdr:colOff>
      <xdr:row>105</xdr:row>
      <xdr:rowOff>47160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12960</xdr:rowOff>
    </xdr:from>
    <xdr:to>
      <xdr:col>10</xdr:col>
      <xdr:colOff>37440</xdr:colOff>
      <xdr:row>47</xdr:row>
      <xdr:rowOff>180360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1"/>
  <sheetViews>
    <sheetView tabSelected="1" zoomScaleNormal="100" workbookViewId="0"/>
  </sheetViews>
  <sheetFormatPr baseColWidth="10" defaultColWidth="8.6640625" defaultRowHeight="15" x14ac:dyDescent="0.2"/>
  <cols>
    <col min="1" max="1" width="2" customWidth="1"/>
    <col min="2" max="2" width="32" customWidth="1"/>
    <col min="3" max="3" width="60" customWidth="1"/>
  </cols>
  <sheetData>
    <row r="2" spans="2:3" ht="24" customHeight="1" x14ac:dyDescent="0.25">
      <c r="B2" s="1" t="s">
        <v>0</v>
      </c>
    </row>
    <row r="3" spans="2:3" ht="15" customHeight="1" x14ac:dyDescent="0.2">
      <c r="B3" s="2" t="s">
        <v>1</v>
      </c>
    </row>
    <row r="5" spans="2:3" ht="17.25" customHeight="1" x14ac:dyDescent="0.2">
      <c r="B5" s="3" t="s">
        <v>2</v>
      </c>
    </row>
    <row r="6" spans="2:3" ht="23.25" customHeight="1" x14ac:dyDescent="0.2">
      <c r="B6" s="4" t="s">
        <v>3</v>
      </c>
      <c r="C6" s="5" t="s">
        <v>4</v>
      </c>
    </row>
    <row r="7" spans="2:3" ht="23.25" customHeight="1" x14ac:dyDescent="0.2">
      <c r="B7" s="4" t="s">
        <v>5</v>
      </c>
      <c r="C7" s="5" t="s">
        <v>6</v>
      </c>
    </row>
    <row r="8" spans="2:3" ht="15" customHeight="1" x14ac:dyDescent="0.2">
      <c r="B8" s="4" t="s">
        <v>7</v>
      </c>
      <c r="C8" s="5" t="s">
        <v>8</v>
      </c>
    </row>
    <row r="9" spans="2:3" ht="15" customHeight="1" x14ac:dyDescent="0.2">
      <c r="B9" s="4" t="s">
        <v>9</v>
      </c>
      <c r="C9" s="6" t="s">
        <v>10</v>
      </c>
    </row>
    <row r="10" spans="2:3" x14ac:dyDescent="0.2">
      <c r="B10" s="4" t="s">
        <v>11</v>
      </c>
      <c r="C10" s="6" t="s">
        <v>12</v>
      </c>
    </row>
    <row r="11" spans="2:3" ht="17.25" customHeight="1" x14ac:dyDescent="0.2">
      <c r="B11" s="4" t="s">
        <v>13</v>
      </c>
      <c r="C11" s="5" t="s">
        <v>14</v>
      </c>
    </row>
    <row r="12" spans="2:3" ht="23.25" customHeight="1" x14ac:dyDescent="0.2"/>
    <row r="13" spans="2:3" ht="23.25" customHeight="1" x14ac:dyDescent="0.2">
      <c r="B13" s="3" t="s">
        <v>15</v>
      </c>
    </row>
    <row r="14" spans="2:3" ht="23.25" customHeight="1" x14ac:dyDescent="0.2">
      <c r="B14" s="7" t="s">
        <v>16</v>
      </c>
      <c r="C14" s="5" t="s">
        <v>17</v>
      </c>
    </row>
    <row r="15" spans="2:3" ht="15" customHeight="1" x14ac:dyDescent="0.2">
      <c r="B15" s="7" t="s">
        <v>18</v>
      </c>
      <c r="C15" s="5" t="s">
        <v>19</v>
      </c>
    </row>
    <row r="16" spans="2:3" ht="15" customHeight="1" x14ac:dyDescent="0.2">
      <c r="B16" s="7" t="s">
        <v>20</v>
      </c>
      <c r="C16" s="5" t="s">
        <v>21</v>
      </c>
    </row>
    <row r="17" spans="2:3" ht="23.25" customHeight="1" x14ac:dyDescent="0.2">
      <c r="B17" s="7" t="s">
        <v>22</v>
      </c>
      <c r="C17" s="5" t="s">
        <v>23</v>
      </c>
    </row>
    <row r="18" spans="2:3" x14ac:dyDescent="0.2">
      <c r="B18" s="7" t="s">
        <v>24</v>
      </c>
      <c r="C18" s="5" t="s">
        <v>25</v>
      </c>
    </row>
    <row r="19" spans="2:3" ht="17.25" customHeight="1" x14ac:dyDescent="0.2">
      <c r="B19" s="7" t="s">
        <v>26</v>
      </c>
      <c r="C19" s="5" t="s">
        <v>27</v>
      </c>
    </row>
    <row r="20" spans="2:3" ht="15" customHeight="1" x14ac:dyDescent="0.2"/>
    <row r="21" spans="2:3" ht="15" customHeight="1" x14ac:dyDescent="0.2">
      <c r="B21" s="3" t="s">
        <v>28</v>
      </c>
    </row>
    <row r="22" spans="2:3" ht="15" customHeight="1" x14ac:dyDescent="0.2">
      <c r="B22" s="7" t="s">
        <v>29</v>
      </c>
      <c r="C22" s="6" t="s">
        <v>30</v>
      </c>
    </row>
    <row r="23" spans="2:3" ht="15" customHeight="1" x14ac:dyDescent="0.2">
      <c r="B23" s="7" t="s">
        <v>31</v>
      </c>
      <c r="C23" s="6" t="s">
        <v>32</v>
      </c>
    </row>
    <row r="24" spans="2:3" x14ac:dyDescent="0.2">
      <c r="B24" s="7" t="s">
        <v>33</v>
      </c>
      <c r="C24" s="6" t="s">
        <v>34</v>
      </c>
    </row>
    <row r="25" spans="2:3" x14ac:dyDescent="0.2">
      <c r="B25" s="7" t="s">
        <v>35</v>
      </c>
      <c r="C25" s="6" t="s">
        <v>36</v>
      </c>
    </row>
    <row r="26" spans="2:3" ht="15" customHeight="1" x14ac:dyDescent="0.2"/>
    <row r="27" spans="2:3" ht="15" customHeight="1" x14ac:dyDescent="0.2"/>
    <row r="28" spans="2:3" ht="15" customHeight="1" x14ac:dyDescent="0.2">
      <c r="B28" s="8" t="s">
        <v>37</v>
      </c>
    </row>
    <row r="29" spans="2:3" ht="15" customHeight="1" x14ac:dyDescent="0.2">
      <c r="B29" s="9" t="s">
        <v>38</v>
      </c>
      <c r="C29" s="6" t="s">
        <v>39</v>
      </c>
    </row>
    <row r="30" spans="2:3" x14ac:dyDescent="0.2">
      <c r="B30" s="10" t="s">
        <v>40</v>
      </c>
      <c r="C30" s="6" t="s">
        <v>41</v>
      </c>
    </row>
    <row r="31" spans="2:3" x14ac:dyDescent="0.2">
      <c r="B31" s="11" t="s">
        <v>42</v>
      </c>
      <c r="C31" s="6" t="s">
        <v>43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55"/>
  <sheetViews>
    <sheetView zoomScaleNormal="100" workbookViewId="0"/>
  </sheetViews>
  <sheetFormatPr baseColWidth="10" defaultColWidth="8.6640625" defaultRowHeight="15" x14ac:dyDescent="0.2"/>
  <cols>
    <col min="1" max="1" width="2" customWidth="1"/>
    <col min="2" max="2" width="38" customWidth="1"/>
    <col min="3" max="4" width="14" customWidth="1"/>
    <col min="5" max="5" width="50" customWidth="1"/>
  </cols>
  <sheetData>
    <row r="2" spans="2:5" ht="21.75" customHeight="1" x14ac:dyDescent="0.25">
      <c r="B2" s="12" t="s">
        <v>44</v>
      </c>
    </row>
    <row r="4" spans="2:5" ht="15" customHeight="1" x14ac:dyDescent="0.2">
      <c r="B4" s="13" t="s">
        <v>45</v>
      </c>
      <c r="C4" s="13" t="s">
        <v>46</v>
      </c>
      <c r="D4" s="13" t="s">
        <v>47</v>
      </c>
      <c r="E4" s="13" t="s">
        <v>48</v>
      </c>
    </row>
    <row r="5" spans="2:5" ht="15" customHeight="1" x14ac:dyDescent="0.2">
      <c r="B5" s="14" t="s">
        <v>49</v>
      </c>
      <c r="C5" s="14"/>
      <c r="D5" s="14"/>
      <c r="E5" s="14"/>
    </row>
    <row r="6" spans="2:5" ht="15" customHeight="1" x14ac:dyDescent="0.2">
      <c r="B6" s="15" t="s">
        <v>50</v>
      </c>
      <c r="C6" s="16">
        <v>1000000</v>
      </c>
      <c r="D6" s="17" t="s">
        <v>51</v>
      </c>
      <c r="E6" s="18" t="s">
        <v>52</v>
      </c>
    </row>
    <row r="7" spans="2:5" ht="15" customHeight="1" x14ac:dyDescent="0.2">
      <c r="B7" s="15" t="s">
        <v>53</v>
      </c>
      <c r="C7" s="16">
        <v>3000000</v>
      </c>
      <c r="D7" s="17" t="s">
        <v>51</v>
      </c>
      <c r="E7" s="18" t="s">
        <v>54</v>
      </c>
    </row>
    <row r="8" spans="2:5" ht="15" customHeight="1" x14ac:dyDescent="0.2">
      <c r="B8" s="15" t="s">
        <v>55</v>
      </c>
      <c r="C8" s="16">
        <v>15000000</v>
      </c>
      <c r="D8" s="17" t="s">
        <v>51</v>
      </c>
      <c r="E8" s="18" t="s">
        <v>56</v>
      </c>
    </row>
    <row r="9" spans="2:5" ht="15" customHeight="1" x14ac:dyDescent="0.2">
      <c r="B9" s="14" t="s">
        <v>57</v>
      </c>
      <c r="C9" s="14"/>
      <c r="D9" s="14"/>
      <c r="E9" s="14"/>
    </row>
    <row r="10" spans="2:5" ht="15" customHeight="1" x14ac:dyDescent="0.2">
      <c r="B10" s="15" t="s">
        <v>58</v>
      </c>
      <c r="C10" s="19">
        <v>0.8</v>
      </c>
      <c r="D10" s="17" t="s">
        <v>59</v>
      </c>
      <c r="E10" s="18" t="s">
        <v>60</v>
      </c>
    </row>
    <row r="11" spans="2:5" ht="15" customHeight="1" x14ac:dyDescent="0.2">
      <c r="B11" s="15" t="s">
        <v>61</v>
      </c>
      <c r="C11" s="20">
        <f>1-C10</f>
        <v>0.19999999999999996</v>
      </c>
      <c r="D11" s="17" t="s">
        <v>59</v>
      </c>
      <c r="E11" s="18" t="s">
        <v>62</v>
      </c>
    </row>
    <row r="12" spans="2:5" ht="15" customHeight="1" x14ac:dyDescent="0.2">
      <c r="B12" s="15" t="s">
        <v>63</v>
      </c>
      <c r="C12" s="19">
        <v>0.5</v>
      </c>
      <c r="D12" s="17" t="s">
        <v>59</v>
      </c>
      <c r="E12" s="18" t="s">
        <v>64</v>
      </c>
    </row>
    <row r="13" spans="2:5" ht="15" customHeight="1" x14ac:dyDescent="0.2">
      <c r="B13" s="15" t="s">
        <v>65</v>
      </c>
      <c r="C13" s="19">
        <v>0.9</v>
      </c>
      <c r="D13" s="17" t="s">
        <v>59</v>
      </c>
      <c r="E13" s="18" t="s">
        <v>66</v>
      </c>
    </row>
    <row r="14" spans="2:5" ht="15" customHeight="1" x14ac:dyDescent="0.2">
      <c r="B14" s="14" t="s">
        <v>67</v>
      </c>
      <c r="C14" s="14"/>
      <c r="D14" s="14"/>
      <c r="E14" s="14"/>
    </row>
    <row r="15" spans="2:5" ht="15" customHeight="1" x14ac:dyDescent="0.2">
      <c r="B15" s="15" t="s">
        <v>68</v>
      </c>
      <c r="C15" s="21">
        <v>0.14000000000000001</v>
      </c>
      <c r="D15" s="17" t="s">
        <v>69</v>
      </c>
      <c r="E15" s="18" t="s">
        <v>70</v>
      </c>
    </row>
    <row r="16" spans="2:5" ht="15" customHeight="1" x14ac:dyDescent="0.2">
      <c r="B16" s="15" t="s">
        <v>71</v>
      </c>
      <c r="C16" s="21">
        <v>0.28000000000000003</v>
      </c>
      <c r="D16" s="17" t="s">
        <v>69</v>
      </c>
      <c r="E16" s="18" t="s">
        <v>70</v>
      </c>
    </row>
    <row r="17" spans="2:5" ht="15" customHeight="1" x14ac:dyDescent="0.2">
      <c r="B17" s="15" t="s">
        <v>72</v>
      </c>
      <c r="C17" s="21">
        <v>1</v>
      </c>
      <c r="D17" s="17" t="s">
        <v>69</v>
      </c>
      <c r="E17" s="18" t="s">
        <v>73</v>
      </c>
    </row>
    <row r="18" spans="2:5" ht="15" customHeight="1" x14ac:dyDescent="0.2">
      <c r="B18" s="15" t="s">
        <v>74</v>
      </c>
      <c r="C18" s="21">
        <v>5</v>
      </c>
      <c r="D18" s="17" t="s">
        <v>69</v>
      </c>
      <c r="E18" s="18" t="s">
        <v>73</v>
      </c>
    </row>
    <row r="19" spans="2:5" ht="15" customHeight="1" x14ac:dyDescent="0.2">
      <c r="B19" s="15" t="s">
        <v>75</v>
      </c>
      <c r="C19" s="21">
        <v>3</v>
      </c>
      <c r="D19" s="17" t="s">
        <v>69</v>
      </c>
      <c r="E19" s="18" t="s">
        <v>73</v>
      </c>
    </row>
    <row r="20" spans="2:5" ht="15" customHeight="1" x14ac:dyDescent="0.2">
      <c r="B20" s="15" t="s">
        <v>76</v>
      </c>
      <c r="C20" s="21">
        <v>15</v>
      </c>
      <c r="D20" s="17" t="s">
        <v>69</v>
      </c>
      <c r="E20" s="18" t="s">
        <v>73</v>
      </c>
    </row>
    <row r="21" spans="2:5" ht="15" customHeight="1" x14ac:dyDescent="0.2">
      <c r="B21" s="14" t="s">
        <v>77</v>
      </c>
      <c r="C21" s="14"/>
      <c r="D21" s="14"/>
      <c r="E21" s="14"/>
    </row>
    <row r="22" spans="2:5" ht="15" customHeight="1" x14ac:dyDescent="0.2">
      <c r="B22" s="15" t="s">
        <v>78</v>
      </c>
      <c r="C22" s="19">
        <v>0.7</v>
      </c>
      <c r="D22" s="17" t="s">
        <v>59</v>
      </c>
      <c r="E22" s="18" t="s">
        <v>79</v>
      </c>
    </row>
    <row r="23" spans="2:5" ht="15" customHeight="1" x14ac:dyDescent="0.2">
      <c r="B23" s="15" t="s">
        <v>80</v>
      </c>
      <c r="C23" s="20">
        <f>1-C22</f>
        <v>0.30000000000000004</v>
      </c>
      <c r="D23" s="17" t="s">
        <v>59</v>
      </c>
      <c r="E23" s="18" t="s">
        <v>81</v>
      </c>
    </row>
    <row r="24" spans="2:5" ht="15" customHeight="1" x14ac:dyDescent="0.2">
      <c r="B24" s="15" t="s">
        <v>82</v>
      </c>
      <c r="C24" s="19">
        <v>0.4</v>
      </c>
      <c r="D24" s="17" t="s">
        <v>59</v>
      </c>
      <c r="E24" s="18" t="s">
        <v>83</v>
      </c>
    </row>
    <row r="25" spans="2:5" ht="15" customHeight="1" x14ac:dyDescent="0.2">
      <c r="B25" s="15" t="s">
        <v>84</v>
      </c>
      <c r="C25" s="20">
        <f>1-C24</f>
        <v>0.6</v>
      </c>
      <c r="D25" s="17" t="s">
        <v>59</v>
      </c>
      <c r="E25" s="18" t="s">
        <v>81</v>
      </c>
    </row>
    <row r="26" spans="2:5" ht="15" customHeight="1" x14ac:dyDescent="0.2">
      <c r="B26" s="14" t="s">
        <v>85</v>
      </c>
      <c r="C26" s="14"/>
      <c r="D26" s="14"/>
      <c r="E26" s="14"/>
    </row>
    <row r="27" spans="2:5" ht="15" customHeight="1" x14ac:dyDescent="0.2">
      <c r="B27" s="15" t="s">
        <v>86</v>
      </c>
      <c r="C27" s="22">
        <v>20</v>
      </c>
      <c r="D27" s="17" t="s">
        <v>87</v>
      </c>
      <c r="E27" s="18" t="s">
        <v>88</v>
      </c>
    </row>
    <row r="28" spans="2:5" ht="15" customHeight="1" x14ac:dyDescent="0.2">
      <c r="B28" s="15" t="s">
        <v>89</v>
      </c>
      <c r="C28" s="22">
        <v>100</v>
      </c>
      <c r="D28" s="17" t="s">
        <v>87</v>
      </c>
      <c r="E28" s="18" t="s">
        <v>90</v>
      </c>
    </row>
    <row r="29" spans="2:5" ht="15" customHeight="1" x14ac:dyDescent="0.2">
      <c r="B29" s="14" t="s">
        <v>91</v>
      </c>
      <c r="C29" s="14"/>
      <c r="D29" s="14"/>
      <c r="E29" s="14"/>
    </row>
    <row r="30" spans="2:5" ht="15" customHeight="1" x14ac:dyDescent="0.2">
      <c r="B30" s="15" t="s">
        <v>92</v>
      </c>
      <c r="C30" s="19">
        <v>0.02</v>
      </c>
      <c r="D30" s="17" t="s">
        <v>59</v>
      </c>
      <c r="E30" s="18" t="s">
        <v>93</v>
      </c>
    </row>
    <row r="31" spans="2:5" ht="15" customHeight="1" x14ac:dyDescent="0.2">
      <c r="B31" s="15" t="s">
        <v>94</v>
      </c>
      <c r="C31" s="19">
        <v>0.9</v>
      </c>
      <c r="D31" s="17" t="s">
        <v>59</v>
      </c>
      <c r="E31" s="18" t="s">
        <v>95</v>
      </c>
    </row>
    <row r="32" spans="2:5" ht="15" customHeight="1" x14ac:dyDescent="0.2">
      <c r="B32" s="15" t="s">
        <v>96</v>
      </c>
      <c r="C32" s="19">
        <v>0.1</v>
      </c>
      <c r="D32" s="17" t="s">
        <v>59</v>
      </c>
      <c r="E32" s="18" t="s">
        <v>97</v>
      </c>
    </row>
    <row r="33" spans="2:5" ht="15" customHeight="1" x14ac:dyDescent="0.2">
      <c r="B33" s="14" t="s">
        <v>98</v>
      </c>
      <c r="C33" s="14"/>
      <c r="D33" s="14"/>
      <c r="E33" s="14"/>
    </row>
    <row r="34" spans="2:5" ht="15" customHeight="1" x14ac:dyDescent="0.2">
      <c r="B34" s="15" t="s">
        <v>99</v>
      </c>
      <c r="C34" s="19">
        <v>0.15</v>
      </c>
      <c r="D34" s="17" t="s">
        <v>100</v>
      </c>
      <c r="E34" s="18" t="s">
        <v>101</v>
      </c>
    </row>
    <row r="35" spans="2:5" ht="15" customHeight="1" x14ac:dyDescent="0.2">
      <c r="B35" s="15" t="s">
        <v>102</v>
      </c>
      <c r="C35" s="19">
        <v>0.08</v>
      </c>
      <c r="D35" s="17" t="s">
        <v>100</v>
      </c>
      <c r="E35" s="18" t="s">
        <v>103</v>
      </c>
    </row>
    <row r="36" spans="2:5" ht="15" customHeight="1" x14ac:dyDescent="0.2">
      <c r="B36" s="15" t="s">
        <v>104</v>
      </c>
      <c r="C36" s="19">
        <v>0.05</v>
      </c>
      <c r="D36" s="17" t="s">
        <v>100</v>
      </c>
      <c r="E36" s="18" t="s">
        <v>105</v>
      </c>
    </row>
    <row r="37" spans="2:5" ht="15" customHeight="1" x14ac:dyDescent="0.2">
      <c r="B37" s="14" t="s">
        <v>106</v>
      </c>
      <c r="C37" s="14"/>
      <c r="D37" s="14"/>
      <c r="E37" s="14"/>
    </row>
    <row r="38" spans="2:5" ht="15" customHeight="1" x14ac:dyDescent="0.2">
      <c r="B38" s="15" t="s">
        <v>107</v>
      </c>
      <c r="C38" s="21">
        <v>1.5</v>
      </c>
      <c r="D38" s="17" t="s">
        <v>108</v>
      </c>
      <c r="E38" s="18" t="s">
        <v>109</v>
      </c>
    </row>
    <row r="39" spans="2:5" ht="15" customHeight="1" x14ac:dyDescent="0.2">
      <c r="B39" s="15" t="s">
        <v>110</v>
      </c>
      <c r="C39" s="22">
        <v>30</v>
      </c>
      <c r="D39" s="17" t="s">
        <v>108</v>
      </c>
      <c r="E39" s="18" t="s">
        <v>111</v>
      </c>
    </row>
    <row r="40" spans="2:5" ht="15" customHeight="1" x14ac:dyDescent="0.2">
      <c r="B40" s="15" t="s">
        <v>112</v>
      </c>
      <c r="C40" s="22">
        <v>50</v>
      </c>
      <c r="D40" s="17" t="s">
        <v>108</v>
      </c>
      <c r="E40" s="18" t="s">
        <v>113</v>
      </c>
    </row>
    <row r="41" spans="2:5" ht="15" customHeight="1" x14ac:dyDescent="0.2">
      <c r="B41" s="14" t="s">
        <v>114</v>
      </c>
      <c r="C41" s="14"/>
      <c r="D41" s="14"/>
      <c r="E41" s="14"/>
    </row>
    <row r="42" spans="2:5" ht="15" customHeight="1" x14ac:dyDescent="0.2">
      <c r="B42" s="15" t="s">
        <v>115</v>
      </c>
      <c r="C42" s="16">
        <v>150</v>
      </c>
      <c r="D42" s="17" t="s">
        <v>116</v>
      </c>
      <c r="E42" s="18" t="s">
        <v>117</v>
      </c>
    </row>
    <row r="43" spans="2:5" ht="15" customHeight="1" x14ac:dyDescent="0.2">
      <c r="B43" s="15" t="s">
        <v>118</v>
      </c>
      <c r="C43" s="21">
        <v>5</v>
      </c>
      <c r="D43" s="17" t="s">
        <v>108</v>
      </c>
      <c r="E43" s="18" t="s">
        <v>119</v>
      </c>
    </row>
    <row r="44" spans="2:5" ht="15" customHeight="1" x14ac:dyDescent="0.2">
      <c r="B44" s="15" t="s">
        <v>120</v>
      </c>
      <c r="C44" s="21">
        <f>Допущения!$C$42*Допущения!$C$43/1000</f>
        <v>0.75</v>
      </c>
      <c r="D44" s="17" t="s">
        <v>87</v>
      </c>
      <c r="E44" s="18" t="s">
        <v>121</v>
      </c>
    </row>
    <row r="45" spans="2:5" ht="15" customHeight="1" x14ac:dyDescent="0.2">
      <c r="B45" s="14" t="s">
        <v>122</v>
      </c>
      <c r="C45" s="14"/>
      <c r="D45" s="14"/>
      <c r="E45" s="14"/>
    </row>
    <row r="46" spans="2:5" ht="15" customHeight="1" x14ac:dyDescent="0.2">
      <c r="B46" s="15" t="s">
        <v>123</v>
      </c>
      <c r="C46" s="21">
        <v>0.2</v>
      </c>
      <c r="D46" s="17" t="s">
        <v>87</v>
      </c>
      <c r="E46" s="18" t="s">
        <v>124</v>
      </c>
    </row>
    <row r="47" spans="2:5" ht="15" customHeight="1" x14ac:dyDescent="0.2">
      <c r="B47" s="14" t="s">
        <v>125</v>
      </c>
      <c r="C47" s="14"/>
      <c r="D47" s="14"/>
      <c r="E47" s="14"/>
    </row>
    <row r="48" spans="2:5" ht="15" customHeight="1" x14ac:dyDescent="0.2">
      <c r="B48" s="15" t="s">
        <v>126</v>
      </c>
      <c r="C48" s="21">
        <v>0.11</v>
      </c>
      <c r="D48" s="17" t="s">
        <v>87</v>
      </c>
      <c r="E48" s="18" t="s">
        <v>127</v>
      </c>
    </row>
    <row r="49" spans="2:5" ht="15" customHeight="1" x14ac:dyDescent="0.2">
      <c r="B49" s="15" t="s">
        <v>128</v>
      </c>
      <c r="C49" s="21">
        <v>0.5</v>
      </c>
      <c r="D49" s="17" t="s">
        <v>87</v>
      </c>
      <c r="E49" s="18" t="s">
        <v>129</v>
      </c>
    </row>
    <row r="50" spans="2:5" ht="15" customHeight="1" x14ac:dyDescent="0.2">
      <c r="B50" s="15" t="s">
        <v>130</v>
      </c>
      <c r="C50" s="19">
        <v>0.03</v>
      </c>
      <c r="D50" s="17" t="s">
        <v>59</v>
      </c>
      <c r="E50" s="18" t="s">
        <v>131</v>
      </c>
    </row>
    <row r="51" spans="2:5" ht="15" customHeight="1" x14ac:dyDescent="0.2">
      <c r="B51" s="14" t="s">
        <v>132</v>
      </c>
      <c r="C51" s="14"/>
      <c r="D51" s="14"/>
      <c r="E51" s="14"/>
    </row>
    <row r="52" spans="2:5" ht="15" customHeight="1" x14ac:dyDescent="0.2">
      <c r="B52" s="15" t="s">
        <v>133</v>
      </c>
      <c r="C52" s="16">
        <v>1000</v>
      </c>
      <c r="D52" s="17" t="s">
        <v>134</v>
      </c>
      <c r="E52" s="18" t="s">
        <v>135</v>
      </c>
    </row>
    <row r="53" spans="2:5" ht="15" customHeight="1" x14ac:dyDescent="0.2">
      <c r="B53" s="15" t="s">
        <v>136</v>
      </c>
      <c r="C53" s="19">
        <v>0.3</v>
      </c>
      <c r="D53" s="17" t="s">
        <v>100</v>
      </c>
      <c r="E53" s="18" t="s">
        <v>137</v>
      </c>
    </row>
    <row r="54" spans="2:5" ht="15" customHeight="1" x14ac:dyDescent="0.2">
      <c r="B54" s="15" t="s">
        <v>138</v>
      </c>
      <c r="C54" s="19">
        <v>0.18</v>
      </c>
      <c r="D54" s="17" t="s">
        <v>100</v>
      </c>
      <c r="E54" s="18" t="s">
        <v>139</v>
      </c>
    </row>
    <row r="55" spans="2:5" ht="15" customHeight="1" x14ac:dyDescent="0.2">
      <c r="B55" s="15" t="s">
        <v>140</v>
      </c>
      <c r="C55" s="19">
        <v>0.12</v>
      </c>
      <c r="D55" s="17" t="s">
        <v>100</v>
      </c>
      <c r="E55" s="18" t="s">
        <v>141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4"/>
  <sheetViews>
    <sheetView zoomScaleNormal="100" workbookViewId="0"/>
  </sheetViews>
  <sheetFormatPr baseColWidth="10" defaultColWidth="8.6640625" defaultRowHeight="15" x14ac:dyDescent="0.2"/>
  <cols>
    <col min="1" max="1" width="2" customWidth="1"/>
    <col min="2" max="2" width="42" customWidth="1"/>
    <col min="3" max="5" width="16" customWidth="1"/>
    <col min="6" max="6" width="5" customWidth="1"/>
    <col min="7" max="7" width="50" customWidth="1"/>
  </cols>
  <sheetData>
    <row r="2" spans="2:7" ht="21.75" customHeight="1" x14ac:dyDescent="0.25">
      <c r="B2" s="12" t="s">
        <v>142</v>
      </c>
    </row>
    <row r="3" spans="2:7" ht="15" customHeight="1" x14ac:dyDescent="0.2">
      <c r="B3" s="23" t="s">
        <v>143</v>
      </c>
    </row>
    <row r="5" spans="2:7" ht="34.5" customHeight="1" x14ac:dyDescent="0.2">
      <c r="B5" s="24" t="s">
        <v>144</v>
      </c>
      <c r="C5" s="24" t="s">
        <v>145</v>
      </c>
      <c r="D5" s="24" t="s">
        <v>146</v>
      </c>
      <c r="E5" s="24" t="s">
        <v>147</v>
      </c>
      <c r="G5" s="24" t="s">
        <v>148</v>
      </c>
    </row>
    <row r="6" spans="2:7" ht="15" customHeight="1" x14ac:dyDescent="0.2">
      <c r="B6" s="14" t="s">
        <v>149</v>
      </c>
      <c r="C6" s="14"/>
      <c r="D6" s="14"/>
      <c r="E6" s="14"/>
      <c r="G6" s="14"/>
    </row>
    <row r="7" spans="2:7" ht="15" customHeight="1" x14ac:dyDescent="0.2">
      <c r="B7" s="15" t="s">
        <v>150</v>
      </c>
      <c r="C7" s="25">
        <v>0</v>
      </c>
      <c r="D7" s="26">
        <f>Допущения!$C$27</f>
        <v>20</v>
      </c>
      <c r="E7" s="26">
        <f>Допущения!$C$28</f>
        <v>100</v>
      </c>
      <c r="G7" s="27" t="s">
        <v>151</v>
      </c>
    </row>
    <row r="8" spans="2:7" ht="15" customHeight="1" x14ac:dyDescent="0.2">
      <c r="B8" s="15" t="s">
        <v>152</v>
      </c>
      <c r="C8" s="26">
        <f>Допущения!$C$44</f>
        <v>0.75</v>
      </c>
      <c r="D8" s="25">
        <v>0</v>
      </c>
      <c r="E8" s="25">
        <v>0</v>
      </c>
      <c r="G8" s="28" t="s">
        <v>153</v>
      </c>
    </row>
    <row r="9" spans="2:7" ht="15" customHeight="1" x14ac:dyDescent="0.2">
      <c r="B9" s="15" t="s">
        <v>154</v>
      </c>
      <c r="C9" s="26">
        <f>Допущения!$C$46</f>
        <v>0.2</v>
      </c>
      <c r="D9" s="26">
        <f>Допущения!$C$46</f>
        <v>0.2</v>
      </c>
      <c r="E9" s="26">
        <f>Допущения!$C$46</f>
        <v>0.2</v>
      </c>
      <c r="G9" s="28" t="s">
        <v>155</v>
      </c>
    </row>
    <row r="10" spans="2:7" ht="15" customHeight="1" x14ac:dyDescent="0.2">
      <c r="B10" s="29" t="s">
        <v>156</v>
      </c>
      <c r="C10" s="30">
        <f>SUM(C7:C9)</f>
        <v>0.95</v>
      </c>
      <c r="D10" s="30">
        <f>SUM(D7:D9)</f>
        <v>20.2</v>
      </c>
      <c r="E10" s="30">
        <f>SUM(E7:E9)</f>
        <v>100.2</v>
      </c>
    </row>
    <row r="12" spans="2:7" ht="15" customHeight="1" x14ac:dyDescent="0.2">
      <c r="B12" s="14" t="s">
        <v>157</v>
      </c>
      <c r="C12" s="14"/>
      <c r="D12" s="14"/>
      <c r="E12" s="14"/>
      <c r="G12" s="14"/>
    </row>
    <row r="13" spans="2:7" ht="15" customHeight="1" x14ac:dyDescent="0.2">
      <c r="B13" s="15" t="s">
        <v>158</v>
      </c>
      <c r="C13" s="25">
        <f>Допущения!$C$6/1000000 * (Допущения!$C$10 * Допущения!$C$15 * (1 - Допущения!$C$12 * Допущения!$C$13) + Допущения!$C$11 * Допущения!$C$16)</f>
        <v>0.11760000000000001</v>
      </c>
      <c r="D13" s="25">
        <f>Допущения!$C$7/1000000 * (Допущения!$C$22 * (Допущения!$C$10 * Допущения!$C$17 * (1 - Допущения!$C$12 * Допущения!$C$13) + Допущения!$C$11 * Допущения!$C$18) + Допущения!$C$23 * (Допущения!$C$10 * Допущения!$C$19 * (1 - Допущения!$C$12 * Допущения!$C$13) + Допущения!$C$11 * Допущения!$C$20))</f>
        <v>6.9120000000000008</v>
      </c>
      <c r="E13" s="25">
        <f>Допущения!$C$8/1000000 * (Допущения!$C$24 * (Допущения!$C$10 * Допущения!$C$17 * (1 - Допущения!$C$12 * Допущения!$C$13) + Допущения!$C$11 * Допущения!$C$18) + Допущения!$C$25 * (Допущения!$C$10 * Допущения!$C$19 * (1 - Допущения!$C$12 * Допущения!$C$13) + Допущения!$C$11 * Допущения!$C$20))</f>
        <v>47.519999999999996</v>
      </c>
      <c r="G13" s="27" t="s">
        <v>159</v>
      </c>
    </row>
    <row r="14" spans="2:7" ht="15" customHeight="1" x14ac:dyDescent="0.2">
      <c r="B14" s="15" t="s">
        <v>160</v>
      </c>
      <c r="C14" s="26">
        <f>Допущения!$C$48</f>
        <v>0.11</v>
      </c>
      <c r="D14" s="26">
        <f>Допущения!$C$48</f>
        <v>0.11</v>
      </c>
      <c r="E14" s="26">
        <f>Допущения!$C$48</f>
        <v>0.11</v>
      </c>
      <c r="G14" s="28" t="s">
        <v>127</v>
      </c>
    </row>
    <row r="15" spans="2:7" ht="15" customHeight="1" x14ac:dyDescent="0.2">
      <c r="B15" s="15" t="s">
        <v>161</v>
      </c>
      <c r="C15" s="25">
        <v>0</v>
      </c>
      <c r="D15" s="26">
        <f>Допущения!$C$49</f>
        <v>0.5</v>
      </c>
      <c r="E15" s="26">
        <f>Допущения!$C$49</f>
        <v>0.5</v>
      </c>
      <c r="G15" s="28" t="s">
        <v>162</v>
      </c>
    </row>
    <row r="16" spans="2:7" ht="15" customHeight="1" x14ac:dyDescent="0.2">
      <c r="B16" s="15" t="s">
        <v>163</v>
      </c>
      <c r="C16" s="25">
        <v>0</v>
      </c>
      <c r="D16" s="25">
        <f>D7*Допущения!$C$50</f>
        <v>0.6</v>
      </c>
      <c r="E16" s="25">
        <f>E7*Допущения!$C$50</f>
        <v>3</v>
      </c>
    </row>
    <row r="17" spans="2:7" ht="15" customHeight="1" x14ac:dyDescent="0.2">
      <c r="B17" s="29" t="s">
        <v>164</v>
      </c>
      <c r="C17" s="30">
        <f>SUM(C13:C16)</f>
        <v>0.22760000000000002</v>
      </c>
      <c r="D17" s="30">
        <f>SUM(D13:D16)</f>
        <v>8.1220000000000017</v>
      </c>
      <c r="E17" s="30">
        <f>SUM(E13:E16)</f>
        <v>51.129999999999995</v>
      </c>
    </row>
    <row r="19" spans="2:7" ht="15" customHeight="1" x14ac:dyDescent="0.2">
      <c r="B19" s="14" t="s">
        <v>165</v>
      </c>
      <c r="C19" s="14"/>
      <c r="D19" s="14"/>
      <c r="E19" s="14"/>
      <c r="G19" s="14"/>
    </row>
    <row r="20" spans="2:7" ht="15" customHeight="1" x14ac:dyDescent="0.2">
      <c r="B20" s="31" t="s">
        <v>166</v>
      </c>
      <c r="C20" s="32">
        <f>C10-C17</f>
        <v>0.72239999999999993</v>
      </c>
      <c r="D20" s="32">
        <f>D10-D17</f>
        <v>12.077999999999998</v>
      </c>
      <c r="E20" s="32">
        <f>E10-E17</f>
        <v>49.070000000000007</v>
      </c>
    </row>
    <row r="21" spans="2:7" ht="15" customHeight="1" x14ac:dyDescent="0.2">
      <c r="B21" s="31" t="s">
        <v>167</v>
      </c>
      <c r="C21" s="33">
        <f>IF(C10=0,0,C20/C10)</f>
        <v>0.76042105263157889</v>
      </c>
      <c r="D21" s="33">
        <f>IF(D10=0,0,D20/D10)</f>
        <v>0.59792079207920779</v>
      </c>
      <c r="E21" s="33">
        <f>IF(E10=0,0,E20/E10)</f>
        <v>0.48972055888223559</v>
      </c>
    </row>
    <row r="23" spans="2:7" ht="15" customHeight="1" x14ac:dyDescent="0.2">
      <c r="B23" s="14" t="s">
        <v>168</v>
      </c>
      <c r="C23" s="14"/>
      <c r="D23" s="14"/>
      <c r="E23" s="14"/>
      <c r="G23" s="14"/>
    </row>
    <row r="24" spans="2:7" ht="15" customHeight="1" x14ac:dyDescent="0.2">
      <c r="B24" s="15" t="s">
        <v>169</v>
      </c>
      <c r="C24" s="34">
        <f>Допущения!$C$34</f>
        <v>0.15</v>
      </c>
      <c r="D24" s="34">
        <f>Допущения!$C$35</f>
        <v>0.08</v>
      </c>
      <c r="E24" s="34">
        <f>Допущения!$C$36</f>
        <v>0.05</v>
      </c>
    </row>
    <row r="25" spans="2:7" ht="15" customHeight="1" x14ac:dyDescent="0.2">
      <c r="B25" s="15" t="s">
        <v>170</v>
      </c>
      <c r="C25" s="35">
        <f>1/C24</f>
        <v>6.666666666666667</v>
      </c>
      <c r="D25" s="35">
        <f>1/D24</f>
        <v>12.5</v>
      </c>
      <c r="E25" s="35">
        <f>1/E24</f>
        <v>20</v>
      </c>
    </row>
    <row r="26" spans="2:7" ht="15" customHeight="1" x14ac:dyDescent="0.2">
      <c r="B26" s="31" t="s">
        <v>171</v>
      </c>
      <c r="C26" s="30">
        <f>C20*C25</f>
        <v>4.8159999999999998</v>
      </c>
      <c r="D26" s="30">
        <f>D20*D25</f>
        <v>150.97499999999997</v>
      </c>
      <c r="E26" s="30">
        <f>E20*E25</f>
        <v>981.40000000000009</v>
      </c>
    </row>
    <row r="27" spans="2:7" ht="15" customHeight="1" x14ac:dyDescent="0.2">
      <c r="B27" s="15" t="s">
        <v>26</v>
      </c>
      <c r="C27" s="26">
        <f>Допущения!$C$38</f>
        <v>1.5</v>
      </c>
      <c r="D27" s="26">
        <f>Допущения!$C$39</f>
        <v>30</v>
      </c>
      <c r="E27" s="26">
        <f>Допущения!$C$40</f>
        <v>50</v>
      </c>
    </row>
    <row r="28" spans="2:7" ht="15" customHeight="1" x14ac:dyDescent="0.2">
      <c r="B28" s="31" t="s">
        <v>168</v>
      </c>
      <c r="C28" s="36">
        <f>IF(C27=0,0,C26/C27)</f>
        <v>3.2106666666666666</v>
      </c>
      <c r="D28" s="36">
        <f>IF(D27=0,0,D26/D27)</f>
        <v>5.0324999999999989</v>
      </c>
      <c r="E28" s="36">
        <f>IF(E27=0,0,E26/E27)</f>
        <v>19.628</v>
      </c>
      <c r="G28" s="27" t="s">
        <v>172</v>
      </c>
    </row>
    <row r="29" spans="2:7" ht="15" customHeight="1" x14ac:dyDescent="0.2">
      <c r="B29" s="15" t="s">
        <v>173</v>
      </c>
      <c r="C29" s="35">
        <f>IF(C20&lt;=0,"н/п",C27/C20)</f>
        <v>2.0764119601328908</v>
      </c>
      <c r="D29" s="35">
        <f>IF(D20&lt;=0,"н/п",D27/D20)</f>
        <v>2.483854942871337</v>
      </c>
      <c r="E29" s="35">
        <f>IF(E20&lt;=0,"н/п",E27/E20)</f>
        <v>1.0189525168127165</v>
      </c>
    </row>
    <row r="31" spans="2:7" ht="15" customHeight="1" x14ac:dyDescent="0.2">
      <c r="B31" s="37" t="s">
        <v>174</v>
      </c>
      <c r="C31" s="37"/>
      <c r="D31" s="37"/>
      <c r="E31" s="37"/>
      <c r="G31" s="37"/>
    </row>
    <row r="32" spans="2:7" ht="21.75" customHeight="1" x14ac:dyDescent="0.2">
      <c r="B32" s="38" t="s">
        <v>175</v>
      </c>
      <c r="G32" s="27" t="s">
        <v>176</v>
      </c>
    </row>
    <row r="33" spans="2:7" ht="21.75" customHeight="1" x14ac:dyDescent="0.2">
      <c r="B33" s="38" t="s">
        <v>177</v>
      </c>
      <c r="G33" s="27" t="s">
        <v>178</v>
      </c>
    </row>
    <row r="34" spans="2:7" ht="21.75" customHeight="1" x14ac:dyDescent="0.2">
      <c r="B34" s="38" t="s">
        <v>179</v>
      </c>
      <c r="G34" s="27" t="s">
        <v>180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39"/>
  <sheetViews>
    <sheetView zoomScaleNormal="100" workbookViewId="0"/>
  </sheetViews>
  <sheetFormatPr baseColWidth="10" defaultColWidth="8.6640625" defaultRowHeight="15" x14ac:dyDescent="0.2"/>
  <cols>
    <col min="1" max="1" width="2" customWidth="1"/>
    <col min="2" max="2" width="38" customWidth="1"/>
    <col min="3" max="26" width="11" customWidth="1"/>
  </cols>
  <sheetData>
    <row r="2" spans="2:26" ht="21.75" customHeight="1" x14ac:dyDescent="0.25">
      <c r="B2" s="12" t="s">
        <v>181</v>
      </c>
    </row>
    <row r="3" spans="2:26" ht="15" customHeight="1" x14ac:dyDescent="0.2">
      <c r="B3" s="23" t="s">
        <v>182</v>
      </c>
    </row>
    <row r="5" spans="2:26" ht="15" customHeight="1" x14ac:dyDescent="0.2">
      <c r="B5" s="39" t="s">
        <v>144</v>
      </c>
      <c r="C5" s="40" t="s">
        <v>183</v>
      </c>
      <c r="D5" s="40" t="s">
        <v>184</v>
      </c>
      <c r="E5" s="40" t="s">
        <v>185</v>
      </c>
      <c r="F5" s="40" t="s">
        <v>186</v>
      </c>
      <c r="G5" s="40" t="s">
        <v>187</v>
      </c>
      <c r="H5" s="40" t="s">
        <v>188</v>
      </c>
      <c r="I5" s="40" t="s">
        <v>189</v>
      </c>
      <c r="J5" s="40" t="s">
        <v>190</v>
      </c>
      <c r="K5" s="40" t="s">
        <v>191</v>
      </c>
      <c r="L5" s="40" t="s">
        <v>192</v>
      </c>
      <c r="M5" s="40" t="s">
        <v>193</v>
      </c>
      <c r="N5" s="40" t="s">
        <v>194</v>
      </c>
      <c r="O5" s="40" t="s">
        <v>195</v>
      </c>
      <c r="P5" s="40" t="s">
        <v>196</v>
      </c>
      <c r="Q5" s="40" t="s">
        <v>197</v>
      </c>
      <c r="R5" s="40" t="s">
        <v>198</v>
      </c>
      <c r="S5" s="40" t="s">
        <v>199</v>
      </c>
      <c r="T5" s="40" t="s">
        <v>200</v>
      </c>
      <c r="U5" s="40" t="s">
        <v>201</v>
      </c>
      <c r="V5" s="40" t="s">
        <v>202</v>
      </c>
      <c r="W5" s="40" t="s">
        <v>203</v>
      </c>
      <c r="X5" s="40" t="s">
        <v>204</v>
      </c>
      <c r="Y5" s="40" t="s">
        <v>205</v>
      </c>
      <c r="Z5" s="40" t="s">
        <v>206</v>
      </c>
    </row>
    <row r="6" spans="2:26" ht="15" customHeight="1" x14ac:dyDescent="0.2">
      <c r="B6" s="41" t="s">
        <v>207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2:26" ht="15" customHeight="1" x14ac:dyDescent="0.2">
      <c r="B7" s="43" t="s">
        <v>208</v>
      </c>
      <c r="C7" s="34">
        <f>IF(1&lt;=6,Допущения!$C$53,IF(1&lt;=12,Допущения!$C$54,Допущения!$C$55))</f>
        <v>0.3</v>
      </c>
      <c r="D7" s="34">
        <f>IF(2&lt;=6,Допущения!$C$53,IF(2&lt;=12,Допущения!$C$54,Допущения!$C$55))</f>
        <v>0.3</v>
      </c>
      <c r="E7" s="34">
        <f>IF(3&lt;=6,Допущения!$C$53,IF(3&lt;=12,Допущения!$C$54,Допущения!$C$55))</f>
        <v>0.3</v>
      </c>
      <c r="F7" s="34">
        <f>IF(4&lt;=6,Допущения!$C$53,IF(4&lt;=12,Допущения!$C$54,Допущения!$C$55))</f>
        <v>0.3</v>
      </c>
      <c r="G7" s="34">
        <f>IF(5&lt;=6,Допущения!$C$53,IF(5&lt;=12,Допущения!$C$54,Допущения!$C$55))</f>
        <v>0.3</v>
      </c>
      <c r="H7" s="34">
        <f>IF(6&lt;=6,Допущения!$C$53,IF(6&lt;=12,Допущения!$C$54,Допущения!$C$55))</f>
        <v>0.3</v>
      </c>
      <c r="I7" s="34">
        <f>IF(7&lt;=6,Допущения!$C$53,IF(7&lt;=12,Допущения!$C$54,Допущения!$C$55))</f>
        <v>0.18</v>
      </c>
      <c r="J7" s="34">
        <f>IF(8&lt;=6,Допущения!$C$53,IF(8&lt;=12,Допущения!$C$54,Допущения!$C$55))</f>
        <v>0.18</v>
      </c>
      <c r="K7" s="34">
        <f>IF(9&lt;=6,Допущения!$C$53,IF(9&lt;=12,Допущения!$C$54,Допущения!$C$55))</f>
        <v>0.18</v>
      </c>
      <c r="L7" s="34">
        <f>IF(10&lt;=6,Допущения!$C$53,IF(10&lt;=12,Допущения!$C$54,Допущения!$C$55))</f>
        <v>0.18</v>
      </c>
      <c r="M7" s="34">
        <f>IF(11&lt;=6,Допущения!$C$53,IF(11&lt;=12,Допущения!$C$54,Допущения!$C$55))</f>
        <v>0.18</v>
      </c>
      <c r="N7" s="34">
        <f>IF(12&lt;=6,Допущения!$C$53,IF(12&lt;=12,Допущения!$C$54,Допущения!$C$55))</f>
        <v>0.18</v>
      </c>
      <c r="O7" s="34">
        <f>IF(13&lt;=6,Допущения!$C$53,IF(13&lt;=12,Допущения!$C$54,Допущения!$C$55))</f>
        <v>0.12</v>
      </c>
      <c r="P7" s="34">
        <f>IF(14&lt;=6,Допущения!$C$53,IF(14&lt;=12,Допущения!$C$54,Допущения!$C$55))</f>
        <v>0.12</v>
      </c>
      <c r="Q7" s="34">
        <f>IF(15&lt;=6,Допущения!$C$53,IF(15&lt;=12,Допущения!$C$54,Допущения!$C$55))</f>
        <v>0.12</v>
      </c>
      <c r="R7" s="34">
        <f>IF(16&lt;=6,Допущения!$C$53,IF(16&lt;=12,Допущения!$C$54,Допущения!$C$55))</f>
        <v>0.12</v>
      </c>
      <c r="S7" s="34">
        <f>IF(17&lt;=6,Допущения!$C$53,IF(17&lt;=12,Допущения!$C$54,Допущения!$C$55))</f>
        <v>0.12</v>
      </c>
      <c r="T7" s="34">
        <f>IF(18&lt;=6,Допущения!$C$53,IF(18&lt;=12,Допущения!$C$54,Допущения!$C$55))</f>
        <v>0.12</v>
      </c>
      <c r="U7" s="34">
        <f>IF(19&lt;=6,Допущения!$C$53,IF(19&lt;=12,Допущения!$C$54,Допущения!$C$55))</f>
        <v>0.12</v>
      </c>
      <c r="V7" s="34">
        <f>IF(20&lt;=6,Допущения!$C$53,IF(20&lt;=12,Допущения!$C$54,Допущения!$C$55))</f>
        <v>0.12</v>
      </c>
      <c r="W7" s="34">
        <f>IF(21&lt;=6,Допущения!$C$53,IF(21&lt;=12,Допущения!$C$54,Допущения!$C$55))</f>
        <v>0.12</v>
      </c>
      <c r="X7" s="34">
        <f>IF(22&lt;=6,Допущения!$C$53,IF(22&lt;=12,Допущения!$C$54,Допущения!$C$55))</f>
        <v>0.12</v>
      </c>
      <c r="Y7" s="34">
        <f>IF(23&lt;=6,Допущения!$C$53,IF(23&lt;=12,Допущения!$C$54,Допущения!$C$55))</f>
        <v>0.12</v>
      </c>
      <c r="Z7" s="34">
        <f>IF(24&lt;=6,Допущения!$C$53,IF(24&lt;=12,Допущения!$C$54,Допущения!$C$55))</f>
        <v>0.12</v>
      </c>
    </row>
    <row r="8" spans="2:26" ht="15" customHeight="1" x14ac:dyDescent="0.2">
      <c r="B8" s="31" t="s">
        <v>209</v>
      </c>
      <c r="C8" s="44">
        <f>Допущения!$C$52</f>
        <v>1000</v>
      </c>
      <c r="D8" s="45">
        <f t="shared" ref="D8:Z8" si="0">C8*(1+D7)</f>
        <v>1300</v>
      </c>
      <c r="E8" s="45">
        <f t="shared" si="0"/>
        <v>1690</v>
      </c>
      <c r="F8" s="45">
        <f t="shared" si="0"/>
        <v>2197</v>
      </c>
      <c r="G8" s="45">
        <f t="shared" si="0"/>
        <v>2856.1</v>
      </c>
      <c r="H8" s="45">
        <f t="shared" si="0"/>
        <v>3712.93</v>
      </c>
      <c r="I8" s="45">
        <f t="shared" si="0"/>
        <v>4381.2573999999995</v>
      </c>
      <c r="J8" s="45">
        <f t="shared" si="0"/>
        <v>5169.8837319999993</v>
      </c>
      <c r="K8" s="45">
        <f t="shared" si="0"/>
        <v>6100.4628037599987</v>
      </c>
      <c r="L8" s="45">
        <f t="shared" si="0"/>
        <v>7198.546108436798</v>
      </c>
      <c r="M8" s="45">
        <f t="shared" si="0"/>
        <v>8494.2844079554216</v>
      </c>
      <c r="N8" s="45">
        <f t="shared" si="0"/>
        <v>10023.255601387396</v>
      </c>
      <c r="O8" s="45">
        <f t="shared" si="0"/>
        <v>11226.046273553886</v>
      </c>
      <c r="P8" s="45">
        <f t="shared" si="0"/>
        <v>12573.171826380354</v>
      </c>
      <c r="Q8" s="45">
        <f t="shared" si="0"/>
        <v>14081.952445545998</v>
      </c>
      <c r="R8" s="45">
        <f t="shared" si="0"/>
        <v>15771.786739011519</v>
      </c>
      <c r="S8" s="45">
        <f t="shared" si="0"/>
        <v>17664.401147692904</v>
      </c>
      <c r="T8" s="45">
        <f t="shared" si="0"/>
        <v>19784.129285416057</v>
      </c>
      <c r="U8" s="45">
        <f t="shared" si="0"/>
        <v>22158.224799665986</v>
      </c>
      <c r="V8" s="45">
        <f t="shared" si="0"/>
        <v>24817.211775625907</v>
      </c>
      <c r="W8" s="45">
        <f t="shared" si="0"/>
        <v>27795.277188701017</v>
      </c>
      <c r="X8" s="45">
        <f t="shared" si="0"/>
        <v>31130.710451345141</v>
      </c>
      <c r="Y8" s="45">
        <f t="shared" si="0"/>
        <v>34866.395705506562</v>
      </c>
      <c r="Z8" s="45">
        <f t="shared" si="0"/>
        <v>39050.363190167351</v>
      </c>
    </row>
    <row r="9" spans="2:26" ht="15" customHeight="1" x14ac:dyDescent="0.2">
      <c r="B9" s="31" t="s">
        <v>210</v>
      </c>
      <c r="C9" s="45">
        <f>C8</f>
        <v>1000</v>
      </c>
      <c r="D9" s="45">
        <f>C9*(1-Допущения!$C$34-Допущения!$C$30)+D8</f>
        <v>2130</v>
      </c>
      <c r="E9" s="45">
        <f>D9*(1-Допущения!$C$34-Допущения!$C$30)+E8</f>
        <v>3457.8999999999996</v>
      </c>
      <c r="F9" s="45">
        <f>E9*(1-Допущения!$C$34-Допущения!$C$30)+F8</f>
        <v>5067.0569999999989</v>
      </c>
      <c r="G9" s="45">
        <f>F9*(1-Допущения!$C$34-Допущения!$C$30)+G8</f>
        <v>7061.7573099999991</v>
      </c>
      <c r="H9" s="45">
        <f>G9*(1-Допущения!$C$34-Допущения!$C$30)+H8</f>
        <v>9574.1885672999979</v>
      </c>
      <c r="I9" s="45">
        <f>H9*(1-Допущения!$C$34-Допущения!$C$30)+I8</f>
        <v>12327.833910858997</v>
      </c>
      <c r="J9" s="45">
        <f>I9*(1-Допущения!$C$34-Допущения!$C$30)+J8</f>
        <v>15401.985878012965</v>
      </c>
      <c r="K9" s="45">
        <f>J9*(1-Допущения!$C$34-Допущения!$C$30)+K8</f>
        <v>18884.111082510761</v>
      </c>
      <c r="L9" s="45">
        <f>K9*(1-Допущения!$C$34-Допущения!$C$30)+L8</f>
        <v>22872.358306920731</v>
      </c>
      <c r="M9" s="45">
        <f>L9*(1-Допущения!$C$34-Допущения!$C$30)+M8</f>
        <v>27478.34180269963</v>
      </c>
      <c r="N9" s="45">
        <f>M9*(1-Допущения!$C$34-Допущения!$C$30)+N8</f>
        <v>32830.279297628091</v>
      </c>
      <c r="O9" s="45">
        <f>N9*(1-Допущения!$C$34-Допущения!$C$30)+O8</f>
        <v>38475.178090585199</v>
      </c>
      <c r="P9" s="45">
        <f>O9*(1-Допущения!$C$34-Допущения!$C$30)+P8</f>
        <v>44507.569641566071</v>
      </c>
      <c r="Q9" s="45">
        <f>P9*(1-Допущения!$C$34-Допущения!$C$30)+Q8</f>
        <v>51023.235248045836</v>
      </c>
      <c r="R9" s="45">
        <f>Q9*(1-Допущения!$C$34-Допущения!$C$30)+R8</f>
        <v>58121.071994889564</v>
      </c>
      <c r="S9" s="45">
        <f>R9*(1-Допущения!$C$34-Допущения!$C$30)+S8</f>
        <v>65904.890903451247</v>
      </c>
      <c r="T9" s="45">
        <f>S9*(1-Допущения!$C$34-Допущения!$C$30)+T8</f>
        <v>74485.188735280593</v>
      </c>
      <c r="U9" s="45">
        <f>T9*(1-Допущения!$C$34-Допущения!$C$30)+U8</f>
        <v>83980.931449948868</v>
      </c>
      <c r="V9" s="45">
        <f>U9*(1-Допущения!$C$34-Допущения!$C$30)+V8</f>
        <v>94521.384879083475</v>
      </c>
      <c r="W9" s="45">
        <f>V9*(1-Допущения!$C$34-Допущения!$C$30)+W8</f>
        <v>106248.02663834029</v>
      </c>
      <c r="X9" s="45">
        <f>W9*(1-Допущения!$C$34-Допущения!$C$30)+X8</f>
        <v>119316.57256116759</v>
      </c>
      <c r="Y9" s="45">
        <f>X9*(1-Допущения!$C$34-Допущения!$C$30)+Y8</f>
        <v>133899.15093127565</v>
      </c>
      <c r="Z9" s="45">
        <f>Y9*(1-Допущения!$C$34-Допущения!$C$30)+Z8</f>
        <v>150186.65846312614</v>
      </c>
    </row>
    <row r="10" spans="2:26" ht="15" customHeight="1" x14ac:dyDescent="0.2">
      <c r="B10" s="43" t="s">
        <v>211</v>
      </c>
      <c r="C10" s="45">
        <f>C9*Допущения!$C$30</f>
        <v>20</v>
      </c>
      <c r="D10" s="45">
        <f>C9*Допущения!$C$30</f>
        <v>20</v>
      </c>
      <c r="E10" s="45">
        <f>D9*Допущения!$C$30</f>
        <v>42.6</v>
      </c>
      <c r="F10" s="45">
        <f>E9*Допущения!$C$30</f>
        <v>69.158000000000001</v>
      </c>
      <c r="G10" s="45">
        <f>F9*Допущения!$C$30</f>
        <v>101.34113999999998</v>
      </c>
      <c r="H10" s="45">
        <f>G9*Допущения!$C$30</f>
        <v>141.23514619999997</v>
      </c>
      <c r="I10" s="45">
        <f>H9*Допущения!$C$30</f>
        <v>191.48377134599997</v>
      </c>
      <c r="J10" s="45">
        <f>I9*Допущения!$C$30</f>
        <v>246.55667821717995</v>
      </c>
      <c r="K10" s="45">
        <f>J9*Допущения!$C$30</f>
        <v>308.03971756025931</v>
      </c>
      <c r="L10" s="45">
        <f>K9*Допущения!$C$30</f>
        <v>377.68222165021524</v>
      </c>
      <c r="M10" s="45">
        <f>L9*Допущения!$C$30</f>
        <v>457.44716613841462</v>
      </c>
      <c r="N10" s="45">
        <f>M9*Допущения!$C$30</f>
        <v>549.56683605399257</v>
      </c>
      <c r="O10" s="45">
        <f>N9*Допущения!$C$30</f>
        <v>656.6055859525618</v>
      </c>
      <c r="P10" s="45">
        <f>O9*Допущения!$C$30</f>
        <v>769.503561811704</v>
      </c>
      <c r="Q10" s="45">
        <f>P9*Допущения!$C$30</f>
        <v>890.15139283132146</v>
      </c>
      <c r="R10" s="45">
        <f>Q9*Допущения!$C$30</f>
        <v>1020.4647049609167</v>
      </c>
      <c r="S10" s="45">
        <f>R9*Допущения!$C$30</f>
        <v>1162.4214398977913</v>
      </c>
      <c r="T10" s="45">
        <f>S9*Допущения!$C$30</f>
        <v>1318.0978180690249</v>
      </c>
      <c r="U10" s="45">
        <f>T9*Допущения!$C$30</f>
        <v>1489.703774705612</v>
      </c>
      <c r="V10" s="45">
        <f>U9*Допущения!$C$30</f>
        <v>1679.6186289989773</v>
      </c>
      <c r="W10" s="45">
        <f>V9*Допущения!$C$30</f>
        <v>1890.4276975816695</v>
      </c>
      <c r="X10" s="45">
        <f>W9*Допущения!$C$30</f>
        <v>2124.960532766806</v>
      </c>
      <c r="Y10" s="45">
        <f>X9*Допущения!$C$30</f>
        <v>2386.3314512233519</v>
      </c>
      <c r="Z10" s="45">
        <f>Y9*Допущения!$C$30</f>
        <v>2677.9830186255131</v>
      </c>
    </row>
    <row r="11" spans="2:26" ht="15" customHeight="1" x14ac:dyDescent="0.2">
      <c r="B11" s="15" t="s">
        <v>212</v>
      </c>
      <c r="C11" s="45">
        <f>C10*Допущения!$C$31</f>
        <v>18</v>
      </c>
      <c r="D11" s="45">
        <f>D10*Допущения!$C$31</f>
        <v>18</v>
      </c>
      <c r="E11" s="45">
        <f>E10*Допущения!$C$31</f>
        <v>38.340000000000003</v>
      </c>
      <c r="F11" s="45">
        <f>F10*Допущения!$C$31</f>
        <v>62.242200000000004</v>
      </c>
      <c r="G11" s="45">
        <f>G10*Допущения!$C$31</f>
        <v>91.207025999999985</v>
      </c>
      <c r="H11" s="45">
        <f>H10*Допущения!$C$31</f>
        <v>127.11163157999998</v>
      </c>
      <c r="I11" s="45">
        <f>I10*Допущения!$C$31</f>
        <v>172.33539421139997</v>
      </c>
      <c r="J11" s="45">
        <f>J10*Допущения!$C$31</f>
        <v>221.90101039546195</v>
      </c>
      <c r="K11" s="45">
        <f>K10*Допущения!$C$31</f>
        <v>277.23574580423337</v>
      </c>
      <c r="L11" s="45">
        <f>L10*Допущения!$C$31</f>
        <v>339.9139994851937</v>
      </c>
      <c r="M11" s="45">
        <f>M10*Допущения!$C$31</f>
        <v>411.70244952457318</v>
      </c>
      <c r="N11" s="45">
        <f>N10*Допущения!$C$31</f>
        <v>494.61015244859334</v>
      </c>
      <c r="O11" s="45">
        <f>O10*Допущения!$C$31</f>
        <v>590.94502735730566</v>
      </c>
      <c r="P11" s="45">
        <f>P10*Допущения!$C$31</f>
        <v>692.55320563053363</v>
      </c>
      <c r="Q11" s="45">
        <f>Q10*Допущения!$C$31</f>
        <v>801.1362535481893</v>
      </c>
      <c r="R11" s="45">
        <f>R10*Допущения!$C$31</f>
        <v>918.4182344648251</v>
      </c>
      <c r="S11" s="45">
        <f>S10*Допущения!$C$31</f>
        <v>1046.1792959080121</v>
      </c>
      <c r="T11" s="45">
        <f>T10*Допущения!$C$31</f>
        <v>1186.2880362621224</v>
      </c>
      <c r="U11" s="45">
        <f>U10*Допущения!$C$31</f>
        <v>1340.7333972350509</v>
      </c>
      <c r="V11" s="45">
        <f>V10*Допущения!$C$31</f>
        <v>1511.6567660990797</v>
      </c>
      <c r="W11" s="45">
        <f>W10*Допущения!$C$31</f>
        <v>1701.3849278235025</v>
      </c>
      <c r="X11" s="45">
        <f>X10*Допущения!$C$31</f>
        <v>1912.4644794901253</v>
      </c>
      <c r="Y11" s="45">
        <f>Y10*Допущения!$C$31</f>
        <v>2147.6983061010169</v>
      </c>
      <c r="Z11" s="45">
        <f>Z10*Допущения!$C$31</f>
        <v>2410.1847167629617</v>
      </c>
    </row>
    <row r="12" spans="2:26" ht="15" customHeight="1" x14ac:dyDescent="0.2">
      <c r="B12" s="15" t="s">
        <v>213</v>
      </c>
      <c r="C12" s="45">
        <f>C10*Допущения!$C$32</f>
        <v>2</v>
      </c>
      <c r="D12" s="45">
        <f>D10*Допущения!$C$32</f>
        <v>2</v>
      </c>
      <c r="E12" s="45">
        <f>E10*Допущения!$C$32</f>
        <v>4.2600000000000007</v>
      </c>
      <c r="F12" s="45">
        <f>F10*Допущения!$C$32</f>
        <v>6.9158000000000008</v>
      </c>
      <c r="G12" s="45">
        <f>G10*Допущения!$C$32</f>
        <v>10.134113999999999</v>
      </c>
      <c r="H12" s="45">
        <f>H10*Допущения!$C$32</f>
        <v>14.123514619999998</v>
      </c>
      <c r="I12" s="45">
        <f>I10*Допущения!$C$32</f>
        <v>19.148377134599997</v>
      </c>
      <c r="J12" s="45">
        <f>J10*Допущения!$C$32</f>
        <v>24.655667821717998</v>
      </c>
      <c r="K12" s="45">
        <f>K10*Допущения!$C$32</f>
        <v>30.803971756025931</v>
      </c>
      <c r="L12" s="45">
        <f>L10*Допущения!$C$32</f>
        <v>37.768222165021527</v>
      </c>
      <c r="M12" s="45">
        <f>M10*Допущения!$C$32</f>
        <v>45.744716613841462</v>
      </c>
      <c r="N12" s="45">
        <f>N10*Допущения!$C$32</f>
        <v>54.956683605399263</v>
      </c>
      <c r="O12" s="45">
        <f>O10*Допущения!$C$32</f>
        <v>65.660558595256177</v>
      </c>
      <c r="P12" s="45">
        <f>P10*Допущения!$C$32</f>
        <v>76.950356181170406</v>
      </c>
      <c r="Q12" s="45">
        <f>Q10*Допущения!$C$32</f>
        <v>89.015139283132157</v>
      </c>
      <c r="R12" s="45">
        <f>R10*Допущения!$C$32</f>
        <v>102.04647049609167</v>
      </c>
      <c r="S12" s="45">
        <f>S10*Допущения!$C$32</f>
        <v>116.24214398977914</v>
      </c>
      <c r="T12" s="45">
        <f>T10*Допущения!$C$32</f>
        <v>131.80978180690249</v>
      </c>
      <c r="U12" s="45">
        <f>U10*Допущения!$C$32</f>
        <v>148.9703774705612</v>
      </c>
      <c r="V12" s="45">
        <f>V10*Допущения!$C$32</f>
        <v>167.96186289989774</v>
      </c>
      <c r="W12" s="45">
        <f>W10*Допущения!$C$32</f>
        <v>189.04276975816697</v>
      </c>
      <c r="X12" s="45">
        <f>X10*Допущения!$C$32</f>
        <v>212.49605327668061</v>
      </c>
      <c r="Y12" s="45">
        <f>Y10*Допущения!$C$32</f>
        <v>238.63314512233521</v>
      </c>
      <c r="Z12" s="45">
        <f>Z10*Допущения!$C$32</f>
        <v>267.79830186255134</v>
      </c>
    </row>
    <row r="13" spans="2:26" ht="15" customHeight="1" x14ac:dyDescent="0.2">
      <c r="B13" s="31" t="s">
        <v>214</v>
      </c>
      <c r="C13" s="45">
        <f>C11</f>
        <v>18</v>
      </c>
      <c r="D13" s="45">
        <f>C13*(1-Допущения!$C$35)+D11</f>
        <v>34.56</v>
      </c>
      <c r="E13" s="45">
        <f>D13*(1-Допущения!$C$35)+E11</f>
        <v>70.135200000000012</v>
      </c>
      <c r="F13" s="45">
        <f>E13*(1-Допущения!$C$35)+F11</f>
        <v>126.76658400000002</v>
      </c>
      <c r="G13" s="45">
        <f>F13*(1-Допущения!$C$35)+G11</f>
        <v>207.83228328000001</v>
      </c>
      <c r="H13" s="45">
        <f>G13*(1-Допущения!$C$35)+H11</f>
        <v>318.31733219760002</v>
      </c>
      <c r="I13" s="45">
        <f>H13*(1-Допущения!$C$35)+I11</f>
        <v>465.18733983319203</v>
      </c>
      <c r="J13" s="45">
        <f>I13*(1-Допущения!$C$35)+J11</f>
        <v>649.87336304199869</v>
      </c>
      <c r="K13" s="45">
        <f>J13*(1-Допущения!$C$35)+K11</f>
        <v>875.11923980287224</v>
      </c>
      <c r="L13" s="45">
        <f>K13*(1-Допущения!$C$35)+L11</f>
        <v>1145.0237001038363</v>
      </c>
      <c r="M13" s="45">
        <f>L13*(1-Допущения!$C$35)+M11</f>
        <v>1465.1242536201028</v>
      </c>
      <c r="N13" s="45">
        <f>M13*(1-Допущения!$C$35)+N11</f>
        <v>1842.5244657790881</v>
      </c>
      <c r="O13" s="45">
        <f>N13*(1-Допущения!$C$35)+O11</f>
        <v>2286.0675358740668</v>
      </c>
      <c r="P13" s="45">
        <f>O13*(1-Допущения!$C$35)+P11</f>
        <v>2795.7353386346754</v>
      </c>
      <c r="Q13" s="45">
        <f>P13*(1-Допущения!$C$35)+Q11</f>
        <v>3373.2127650920906</v>
      </c>
      <c r="R13" s="45">
        <f>Q13*(1-Допущения!$C$35)+R11</f>
        <v>4021.7739783495485</v>
      </c>
      <c r="S13" s="45">
        <f>R13*(1-Допущения!$C$35)+S11</f>
        <v>4746.211355989597</v>
      </c>
      <c r="T13" s="45">
        <f>S13*(1-Допущения!$C$35)+T11</f>
        <v>5552.8024837725525</v>
      </c>
      <c r="U13" s="45">
        <f>T13*(1-Допущения!$C$35)+U11</f>
        <v>6449.311682305799</v>
      </c>
      <c r="V13" s="45">
        <f>U13*(1-Допущения!$C$35)+V11</f>
        <v>7445.0235138204152</v>
      </c>
      <c r="W13" s="45">
        <f>V13*(1-Допущения!$C$35)+W11</f>
        <v>8550.8065605382853</v>
      </c>
      <c r="X13" s="45">
        <f>W13*(1-Допущения!$C$35)+X11</f>
        <v>9779.2065151853476</v>
      </c>
      <c r="Y13" s="45">
        <f>X13*(1-Допущения!$C$35)+Y11</f>
        <v>11144.568300071536</v>
      </c>
      <c r="Z13" s="45">
        <f>Y13*(1-Допущения!$C$35)+Z11</f>
        <v>12663.187552828776</v>
      </c>
    </row>
    <row r="14" spans="2:26" ht="15" customHeight="1" x14ac:dyDescent="0.2">
      <c r="B14" s="31" t="s">
        <v>215</v>
      </c>
      <c r="C14" s="45">
        <f>C12</f>
        <v>2</v>
      </c>
      <c r="D14" s="45">
        <f>C14*(1-Допущения!$C$36)+D12</f>
        <v>3.9</v>
      </c>
      <c r="E14" s="45">
        <f>D14*(1-Допущения!$C$36)+E12</f>
        <v>7.9649999999999999</v>
      </c>
      <c r="F14" s="45">
        <f>E14*(1-Допущения!$C$36)+F12</f>
        <v>14.48255</v>
      </c>
      <c r="G14" s="45">
        <f>F14*(1-Допущения!$C$36)+G12</f>
        <v>23.892536499999999</v>
      </c>
      <c r="H14" s="45">
        <f>G14*(1-Допущения!$C$36)+H12</f>
        <v>36.821424295</v>
      </c>
      <c r="I14" s="45">
        <f>H14*(1-Допущения!$C$36)+I12</f>
        <v>54.128730214849995</v>
      </c>
      <c r="J14" s="45">
        <f>I14*(1-Допущения!$C$36)+J12</f>
        <v>76.077961525825486</v>
      </c>
      <c r="K14" s="45">
        <f>J14*(1-Допущения!$C$36)+K12</f>
        <v>103.07803520556014</v>
      </c>
      <c r="L14" s="45">
        <f>K14*(1-Допущения!$C$36)+L12</f>
        <v>135.69235561030365</v>
      </c>
      <c r="M14" s="45">
        <f>L14*(1-Допущения!$C$36)+M12</f>
        <v>174.65245444362992</v>
      </c>
      <c r="N14" s="45">
        <f>M14*(1-Допущения!$C$36)+N12</f>
        <v>220.87651532684768</v>
      </c>
      <c r="O14" s="45">
        <f>N14*(1-Допущения!$C$36)+O12</f>
        <v>275.49324815576148</v>
      </c>
      <c r="P14" s="45">
        <f>O14*(1-Допущения!$C$36)+P12</f>
        <v>338.66894192914378</v>
      </c>
      <c r="Q14" s="45">
        <f>P14*(1-Допущения!$C$36)+Q12</f>
        <v>410.75063411581874</v>
      </c>
      <c r="R14" s="45">
        <f>Q14*(1-Допущения!$C$36)+R12</f>
        <v>492.25957290611944</v>
      </c>
      <c r="S14" s="45">
        <f>R14*(1-Допущения!$C$36)+S12</f>
        <v>583.88873825059261</v>
      </c>
      <c r="T14" s="45">
        <f>S14*(1-Допущения!$C$36)+T12</f>
        <v>686.50408314496542</v>
      </c>
      <c r="U14" s="45">
        <f>T14*(1-Допущения!$C$36)+U12</f>
        <v>801.14925645827827</v>
      </c>
      <c r="V14" s="45">
        <f>U14*(1-Допущения!$C$36)+V12</f>
        <v>929.05365653526201</v>
      </c>
      <c r="W14" s="45">
        <f>V14*(1-Допущения!$C$36)+W12</f>
        <v>1071.6437434666659</v>
      </c>
      <c r="X14" s="45">
        <f>W14*(1-Допущения!$C$36)+X12</f>
        <v>1230.5576095700133</v>
      </c>
      <c r="Y14" s="45">
        <f>X14*(1-Допущения!$C$36)+Y12</f>
        <v>1407.6628742138478</v>
      </c>
      <c r="Z14" s="45">
        <f>Y14*(1-Допущения!$C$36)+Z12</f>
        <v>1605.0780323657068</v>
      </c>
    </row>
    <row r="15" spans="2:26" ht="15" customHeight="1" x14ac:dyDescent="0.2">
      <c r="B15" s="31" t="s">
        <v>216</v>
      </c>
      <c r="C15" s="46">
        <f t="shared" ref="C15:Z15" si="1">C9+C13+C14</f>
        <v>1020</v>
      </c>
      <c r="D15" s="46">
        <f t="shared" si="1"/>
        <v>2168.46</v>
      </c>
      <c r="E15" s="46">
        <f t="shared" si="1"/>
        <v>3536.0001999999999</v>
      </c>
      <c r="F15" s="46">
        <f t="shared" si="1"/>
        <v>5208.3061339999986</v>
      </c>
      <c r="G15" s="46">
        <f t="shared" si="1"/>
        <v>7293.482129779999</v>
      </c>
      <c r="H15" s="46">
        <f t="shared" si="1"/>
        <v>9929.3273237925969</v>
      </c>
      <c r="I15" s="46">
        <f t="shared" si="1"/>
        <v>12847.149980907039</v>
      </c>
      <c r="J15" s="46">
        <f t="shared" si="1"/>
        <v>16127.93720258079</v>
      </c>
      <c r="K15" s="46">
        <f t="shared" si="1"/>
        <v>19862.308357519192</v>
      </c>
      <c r="L15" s="46">
        <f t="shared" si="1"/>
        <v>24153.07436263487</v>
      </c>
      <c r="M15" s="46">
        <f t="shared" si="1"/>
        <v>29118.118510763361</v>
      </c>
      <c r="N15" s="46">
        <f t="shared" si="1"/>
        <v>34893.680278734028</v>
      </c>
      <c r="O15" s="46">
        <f t="shared" si="1"/>
        <v>41036.738874615032</v>
      </c>
      <c r="P15" s="46">
        <f t="shared" si="1"/>
        <v>47641.973922129888</v>
      </c>
      <c r="Q15" s="46">
        <f t="shared" si="1"/>
        <v>54807.198647253746</v>
      </c>
      <c r="R15" s="46">
        <f t="shared" si="1"/>
        <v>62635.105546145234</v>
      </c>
      <c r="S15" s="46">
        <f t="shared" si="1"/>
        <v>71234.990997691435</v>
      </c>
      <c r="T15" s="46">
        <f t="shared" si="1"/>
        <v>80724.495302198105</v>
      </c>
      <c r="U15" s="46">
        <f t="shared" si="1"/>
        <v>91231.392388712935</v>
      </c>
      <c r="V15" s="46">
        <f t="shared" si="1"/>
        <v>102895.46204943916</v>
      </c>
      <c r="W15" s="46">
        <f t="shared" si="1"/>
        <v>115870.47694234524</v>
      </c>
      <c r="X15" s="46">
        <f t="shared" si="1"/>
        <v>130326.33668592294</v>
      </c>
      <c r="Y15" s="46">
        <f t="shared" si="1"/>
        <v>146451.38210556106</v>
      </c>
      <c r="Z15" s="46">
        <f t="shared" si="1"/>
        <v>164454.92404832062</v>
      </c>
    </row>
    <row r="16" spans="2:26" ht="15" customHeight="1" x14ac:dyDescent="0.2">
      <c r="B16" s="31" t="s">
        <v>217</v>
      </c>
      <c r="C16" s="46">
        <f t="shared" ref="C16:Z16" si="2">C13+C14</f>
        <v>20</v>
      </c>
      <c r="D16" s="46">
        <f t="shared" si="2"/>
        <v>38.46</v>
      </c>
      <c r="E16" s="46">
        <f t="shared" si="2"/>
        <v>78.100200000000015</v>
      </c>
      <c r="F16" s="46">
        <f t="shared" si="2"/>
        <v>141.24913400000003</v>
      </c>
      <c r="G16" s="46">
        <f t="shared" si="2"/>
        <v>231.72481978000002</v>
      </c>
      <c r="H16" s="46">
        <f t="shared" si="2"/>
        <v>355.13875649260001</v>
      </c>
      <c r="I16" s="46">
        <f t="shared" si="2"/>
        <v>519.31607004804198</v>
      </c>
      <c r="J16" s="46">
        <f t="shared" si="2"/>
        <v>725.95132456782414</v>
      </c>
      <c r="K16" s="46">
        <f t="shared" si="2"/>
        <v>978.19727500843237</v>
      </c>
      <c r="L16" s="46">
        <f t="shared" si="2"/>
        <v>1280.7160557141399</v>
      </c>
      <c r="M16" s="46">
        <f t="shared" si="2"/>
        <v>1639.7767080637327</v>
      </c>
      <c r="N16" s="46">
        <f t="shared" si="2"/>
        <v>2063.4009811059359</v>
      </c>
      <c r="O16" s="46">
        <f t="shared" si="2"/>
        <v>2561.5607840298285</v>
      </c>
      <c r="P16" s="46">
        <f t="shared" si="2"/>
        <v>3134.4042805638192</v>
      </c>
      <c r="Q16" s="46">
        <f t="shared" si="2"/>
        <v>3783.9633992079093</v>
      </c>
      <c r="R16" s="46">
        <f t="shared" si="2"/>
        <v>4514.0335512556676</v>
      </c>
      <c r="S16" s="46">
        <f t="shared" si="2"/>
        <v>5330.1000942401897</v>
      </c>
      <c r="T16" s="46">
        <f t="shared" si="2"/>
        <v>6239.3065669175176</v>
      </c>
      <c r="U16" s="46">
        <f t="shared" si="2"/>
        <v>7250.4609387640776</v>
      </c>
      <c r="V16" s="46">
        <f t="shared" si="2"/>
        <v>8374.0771703556766</v>
      </c>
      <c r="W16" s="46">
        <f t="shared" si="2"/>
        <v>9622.4503040049512</v>
      </c>
      <c r="X16" s="46">
        <f t="shared" si="2"/>
        <v>11009.76412475536</v>
      </c>
      <c r="Y16" s="46">
        <f t="shared" si="2"/>
        <v>12552.231174285384</v>
      </c>
      <c r="Z16" s="46">
        <f t="shared" si="2"/>
        <v>14268.265585194484</v>
      </c>
    </row>
    <row r="17" spans="2:26" ht="15" customHeight="1" x14ac:dyDescent="0.2">
      <c r="B17" s="43" t="s">
        <v>218</v>
      </c>
      <c r="C17" s="47">
        <f t="shared" ref="C17:Z17" si="3">IF(C15=0,0,C16/C15)</f>
        <v>1.9607843137254902E-2</v>
      </c>
      <c r="D17" s="47">
        <f t="shared" si="3"/>
        <v>1.7736089206164745E-2</v>
      </c>
      <c r="E17" s="47">
        <f t="shared" si="3"/>
        <v>2.2087159384210447E-2</v>
      </c>
      <c r="F17" s="47">
        <f t="shared" si="3"/>
        <v>2.7119975355887956E-2</v>
      </c>
      <c r="G17" s="47">
        <f t="shared" si="3"/>
        <v>3.1771493459049553E-2</v>
      </c>
      <c r="H17" s="47">
        <f t="shared" si="3"/>
        <v>3.5766648123445238E-2</v>
      </c>
      <c r="I17" s="47">
        <f t="shared" si="3"/>
        <v>4.0422667347997834E-2</v>
      </c>
      <c r="J17" s="47">
        <f t="shared" si="3"/>
        <v>4.5012038145315791E-2</v>
      </c>
      <c r="K17" s="47">
        <f t="shared" si="3"/>
        <v>4.9248921998440338E-2</v>
      </c>
      <c r="L17" s="47">
        <f t="shared" si="3"/>
        <v>5.3024970506256743E-2</v>
      </c>
      <c r="M17" s="47">
        <f t="shared" si="3"/>
        <v>5.631465190505347E-2</v>
      </c>
      <c r="N17" s="47">
        <f t="shared" si="3"/>
        <v>5.9133945305376023E-2</v>
      </c>
      <c r="O17" s="47">
        <f t="shared" si="3"/>
        <v>6.24211585588344E-2</v>
      </c>
      <c r="P17" s="47">
        <f t="shared" si="3"/>
        <v>6.579081474850218E-2</v>
      </c>
      <c r="Q17" s="47">
        <f t="shared" si="3"/>
        <v>6.9041357569869413E-2</v>
      </c>
      <c r="R17" s="47">
        <f t="shared" si="3"/>
        <v>7.2068746622132515E-2</v>
      </c>
      <c r="S17" s="47">
        <f t="shared" si="3"/>
        <v>7.4824184289051521E-2</v>
      </c>
      <c r="T17" s="47">
        <f t="shared" si="3"/>
        <v>7.729136668566601E-2</v>
      </c>
      <c r="U17" s="47">
        <f t="shared" si="3"/>
        <v>7.9473312298816767E-2</v>
      </c>
      <c r="V17" s="47">
        <f t="shared" si="3"/>
        <v>8.1384319614912701E-2</v>
      </c>
      <c r="W17" s="47">
        <f t="shared" si="3"/>
        <v>8.3044883890422611E-2</v>
      </c>
      <c r="X17" s="47">
        <f t="shared" si="3"/>
        <v>8.4478428571871059E-2</v>
      </c>
      <c r="Y17" s="47">
        <f t="shared" si="3"/>
        <v>8.570920256141952E-2</v>
      </c>
      <c r="Z17" s="47">
        <f t="shared" si="3"/>
        <v>8.6760950867011688E-2</v>
      </c>
    </row>
    <row r="19" spans="2:26" ht="15" customHeight="1" x14ac:dyDescent="0.2">
      <c r="B19" s="41" t="s">
        <v>149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2:26" ht="15" customHeight="1" x14ac:dyDescent="0.2">
      <c r="B20" s="15" t="s">
        <v>219</v>
      </c>
      <c r="C20" s="48">
        <f>C13*Допущения!$C$27</f>
        <v>360</v>
      </c>
      <c r="D20" s="48">
        <f>D13*Допущения!$C$27</f>
        <v>691.2</v>
      </c>
      <c r="E20" s="48">
        <f>E13*Допущения!$C$27</f>
        <v>1402.7040000000002</v>
      </c>
      <c r="F20" s="48">
        <f>F13*Допущения!$C$27</f>
        <v>2535.3316800000002</v>
      </c>
      <c r="G20" s="48">
        <f>G13*Допущения!$C$27</f>
        <v>4156.6456656</v>
      </c>
      <c r="H20" s="48">
        <f>H13*Допущения!$C$27</f>
        <v>6366.3466439520007</v>
      </c>
      <c r="I20" s="48">
        <f>I13*Допущения!$C$27</f>
        <v>9303.7467966638396</v>
      </c>
      <c r="J20" s="48">
        <f>J13*Допущения!$C$27</f>
        <v>12997.467260839974</v>
      </c>
      <c r="K20" s="48">
        <f>K13*Допущения!$C$27</f>
        <v>17502.384796057446</v>
      </c>
      <c r="L20" s="48">
        <f>L13*Допущения!$C$27</f>
        <v>22900.474002076728</v>
      </c>
      <c r="M20" s="48">
        <f>M13*Допущения!$C$27</f>
        <v>29302.485072402054</v>
      </c>
      <c r="N20" s="48">
        <f>N13*Допущения!$C$27</f>
        <v>36850.489315581763</v>
      </c>
      <c r="O20" s="48">
        <f>O13*Допущения!$C$27</f>
        <v>45721.350717481335</v>
      </c>
      <c r="P20" s="48">
        <f>P13*Допущения!$C$27</f>
        <v>55914.706772693506</v>
      </c>
      <c r="Q20" s="48">
        <f>Q13*Допущения!$C$27</f>
        <v>67464.255301841811</v>
      </c>
      <c r="R20" s="48">
        <f>R13*Допущения!$C$27</f>
        <v>80435.479566990965</v>
      </c>
      <c r="S20" s="48">
        <f>S13*Допущения!$C$27</f>
        <v>94924.227119791933</v>
      </c>
      <c r="T20" s="48">
        <f>T13*Допущения!$C$27</f>
        <v>111056.04967545105</v>
      </c>
      <c r="U20" s="48">
        <f>U13*Допущения!$C$27</f>
        <v>128986.23364611599</v>
      </c>
      <c r="V20" s="48">
        <f>V13*Допущения!$C$27</f>
        <v>148900.4702764083</v>
      </c>
      <c r="W20" s="48">
        <f>W13*Допущения!$C$27</f>
        <v>171016.13121076571</v>
      </c>
      <c r="X20" s="48">
        <f>X13*Допущения!$C$27</f>
        <v>195584.13030370694</v>
      </c>
      <c r="Y20" s="48">
        <f>Y13*Допущения!$C$27</f>
        <v>222891.36600143072</v>
      </c>
      <c r="Z20" s="48">
        <f>Z13*Допущения!$C$27</f>
        <v>253263.75105657554</v>
      </c>
    </row>
    <row r="21" spans="2:26" ht="15" customHeight="1" x14ac:dyDescent="0.2">
      <c r="B21" s="15" t="s">
        <v>220</v>
      </c>
      <c r="C21" s="48">
        <f>C14*Допущения!$C$28</f>
        <v>200</v>
      </c>
      <c r="D21" s="48">
        <f>D14*Допущения!$C$28</f>
        <v>390</v>
      </c>
      <c r="E21" s="48">
        <f>E14*Допущения!$C$28</f>
        <v>796.5</v>
      </c>
      <c r="F21" s="48">
        <f>F14*Допущения!$C$28</f>
        <v>1448.2549999999999</v>
      </c>
      <c r="G21" s="48">
        <f>G14*Допущения!$C$28</f>
        <v>2389.2536499999997</v>
      </c>
      <c r="H21" s="48">
        <f>H14*Допущения!$C$28</f>
        <v>3682.1424295000002</v>
      </c>
      <c r="I21" s="48">
        <f>I14*Допущения!$C$28</f>
        <v>5412.8730214849993</v>
      </c>
      <c r="J21" s="48">
        <f>J14*Допущения!$C$28</f>
        <v>7607.7961525825485</v>
      </c>
      <c r="K21" s="48">
        <f>K14*Допущения!$C$28</f>
        <v>10307.803520556014</v>
      </c>
      <c r="L21" s="48">
        <f>L14*Допущения!$C$28</f>
        <v>13569.235561030366</v>
      </c>
      <c r="M21" s="48">
        <f>M14*Допущения!$C$28</f>
        <v>17465.24544436299</v>
      </c>
      <c r="N21" s="48">
        <f>N14*Допущения!$C$28</f>
        <v>22087.651532684769</v>
      </c>
      <c r="O21" s="48">
        <f>O14*Допущения!$C$28</f>
        <v>27549.324815576147</v>
      </c>
      <c r="P21" s="48">
        <f>P14*Допущения!$C$28</f>
        <v>33866.894192914377</v>
      </c>
      <c r="Q21" s="48">
        <f>Q14*Допущения!$C$28</f>
        <v>41075.063411581876</v>
      </c>
      <c r="R21" s="48">
        <f>R14*Допущения!$C$28</f>
        <v>49225.957290611943</v>
      </c>
      <c r="S21" s="48">
        <f>S14*Допущения!$C$28</f>
        <v>58388.873825059258</v>
      </c>
      <c r="T21" s="48">
        <f>T14*Допущения!$C$28</f>
        <v>68650.408314496541</v>
      </c>
      <c r="U21" s="48">
        <f>U14*Допущения!$C$28</f>
        <v>80114.925645827825</v>
      </c>
      <c r="V21" s="48">
        <f>V14*Допущения!$C$28</f>
        <v>92905.365653526198</v>
      </c>
      <c r="W21" s="48">
        <f>W14*Допущения!$C$28</f>
        <v>107164.37434666659</v>
      </c>
      <c r="X21" s="48">
        <f>X14*Допущения!$C$28</f>
        <v>123055.76095700133</v>
      </c>
      <c r="Y21" s="48">
        <f>Y14*Допущения!$C$28</f>
        <v>140766.28742138477</v>
      </c>
      <c r="Z21" s="48">
        <f>Z14*Допущения!$C$28</f>
        <v>160507.80323657067</v>
      </c>
    </row>
    <row r="22" spans="2:26" ht="15" customHeight="1" x14ac:dyDescent="0.2">
      <c r="B22" s="15" t="s">
        <v>221</v>
      </c>
      <c r="C22" s="48">
        <f>C9*Допущения!$C$44</f>
        <v>750</v>
      </c>
      <c r="D22" s="48">
        <f>D9*Допущения!$C$44</f>
        <v>1597.5</v>
      </c>
      <c r="E22" s="48">
        <f>E9*Допущения!$C$44</f>
        <v>2593.4249999999997</v>
      </c>
      <c r="F22" s="48">
        <f>F9*Допущения!$C$44</f>
        <v>3800.2927499999992</v>
      </c>
      <c r="G22" s="48">
        <f>G9*Допущения!$C$44</f>
        <v>5296.3179824999988</v>
      </c>
      <c r="H22" s="48">
        <f>H9*Допущения!$C$44</f>
        <v>7180.641425474998</v>
      </c>
      <c r="I22" s="48">
        <f>I9*Допущения!$C$44</f>
        <v>9245.8754331442469</v>
      </c>
      <c r="J22" s="48">
        <f>J9*Допущения!$C$44</f>
        <v>11551.489408509724</v>
      </c>
      <c r="K22" s="48">
        <f>K9*Допущения!$C$44</f>
        <v>14163.083311883071</v>
      </c>
      <c r="L22" s="48">
        <f>L9*Допущения!$C$44</f>
        <v>17154.268730190546</v>
      </c>
      <c r="M22" s="48">
        <f>M9*Допущения!$C$44</f>
        <v>20608.75635202472</v>
      </c>
      <c r="N22" s="48">
        <f>N9*Допущения!$C$44</f>
        <v>24622.709473221068</v>
      </c>
      <c r="O22" s="48">
        <f>O9*Допущения!$C$44</f>
        <v>28856.383567938901</v>
      </c>
      <c r="P22" s="48">
        <f>P9*Допущения!$C$44</f>
        <v>33380.677231174552</v>
      </c>
      <c r="Q22" s="48">
        <f>Q9*Допущения!$C$44</f>
        <v>38267.42643603438</v>
      </c>
      <c r="R22" s="48">
        <f>R9*Допущения!$C$44</f>
        <v>43590.803996167175</v>
      </c>
      <c r="S22" s="48">
        <f>S9*Допущения!$C$44</f>
        <v>49428.668177588435</v>
      </c>
      <c r="T22" s="48">
        <f>T9*Допущения!$C$44</f>
        <v>55863.891551460445</v>
      </c>
      <c r="U22" s="48">
        <f>U9*Допущения!$C$44</f>
        <v>62985.698587461651</v>
      </c>
      <c r="V22" s="48">
        <f>V9*Допущения!$C$44</f>
        <v>70891.038659312602</v>
      </c>
      <c r="W22" s="48">
        <f>W9*Допущения!$C$44</f>
        <v>79686.019978755212</v>
      </c>
      <c r="X22" s="48">
        <f>X9*Допущения!$C$44</f>
        <v>89487.429420875691</v>
      </c>
      <c r="Y22" s="48">
        <f>Y9*Допущения!$C$44</f>
        <v>100424.36319845673</v>
      </c>
      <c r="Z22" s="48">
        <f>Z9*Допущения!$C$44</f>
        <v>112639.99384734459</v>
      </c>
    </row>
    <row r="23" spans="2:26" ht="15" customHeight="1" x14ac:dyDescent="0.2">
      <c r="B23" s="15" t="s">
        <v>222</v>
      </c>
      <c r="C23" s="48">
        <f>C15*Допущения!$C$46</f>
        <v>204</v>
      </c>
      <c r="D23" s="48">
        <f>D15*Допущения!$C$46</f>
        <v>433.69200000000001</v>
      </c>
      <c r="E23" s="48">
        <f>E15*Допущения!$C$46</f>
        <v>707.20004000000006</v>
      </c>
      <c r="F23" s="48">
        <f>F15*Допущения!$C$46</f>
        <v>1041.6612267999997</v>
      </c>
      <c r="G23" s="48">
        <f>G15*Допущения!$C$46</f>
        <v>1458.696425956</v>
      </c>
      <c r="H23" s="48">
        <f>H15*Допущения!$C$46</f>
        <v>1985.8654647585195</v>
      </c>
      <c r="I23" s="48">
        <f>I15*Допущения!$C$46</f>
        <v>2569.4299961814081</v>
      </c>
      <c r="J23" s="48">
        <f>J15*Допущения!$C$46</f>
        <v>3225.587440516158</v>
      </c>
      <c r="K23" s="48">
        <f>K15*Допущения!$C$46</f>
        <v>3972.4616715038387</v>
      </c>
      <c r="L23" s="48">
        <f>L15*Допущения!$C$46</f>
        <v>4830.6148725269741</v>
      </c>
      <c r="M23" s="48">
        <f>M15*Допущения!$C$46</f>
        <v>5823.6237021526722</v>
      </c>
      <c r="N23" s="48">
        <f>N15*Допущения!$C$46</f>
        <v>6978.7360557468055</v>
      </c>
      <c r="O23" s="48">
        <f>O15*Допущения!$C$46</f>
        <v>8207.347774923006</v>
      </c>
      <c r="P23" s="48">
        <f>P15*Допущения!$C$46</f>
        <v>9528.3947844259783</v>
      </c>
      <c r="Q23" s="48">
        <f>Q15*Допущения!$C$46</f>
        <v>10961.439729450751</v>
      </c>
      <c r="R23" s="48">
        <f>R15*Допущения!$C$46</f>
        <v>12527.021109229048</v>
      </c>
      <c r="S23" s="48">
        <f>S15*Допущения!$C$46</f>
        <v>14246.998199538288</v>
      </c>
      <c r="T23" s="48">
        <f>T15*Допущения!$C$46</f>
        <v>16144.899060439622</v>
      </c>
      <c r="U23" s="48">
        <f>U15*Допущения!$C$46</f>
        <v>18246.278477742588</v>
      </c>
      <c r="V23" s="48">
        <f>V15*Допущения!$C$46</f>
        <v>20579.092409887831</v>
      </c>
      <c r="W23" s="48">
        <f>W15*Допущения!$C$46</f>
        <v>23174.09538846905</v>
      </c>
      <c r="X23" s="48">
        <f>X15*Допущения!$C$46</f>
        <v>26065.267337184589</v>
      </c>
      <c r="Y23" s="48">
        <f>Y15*Допущения!$C$46</f>
        <v>29290.276421112212</v>
      </c>
      <c r="Z23" s="48">
        <f>Z15*Допущения!$C$46</f>
        <v>32890.984809664129</v>
      </c>
    </row>
    <row r="24" spans="2:26" ht="15" customHeight="1" x14ac:dyDescent="0.2">
      <c r="B24" s="31" t="s">
        <v>223</v>
      </c>
      <c r="C24" s="49">
        <f t="shared" ref="C24:Z24" si="4">SUM(C20:C23)</f>
        <v>1514</v>
      </c>
      <c r="D24" s="49">
        <f t="shared" si="4"/>
        <v>3112.3919999999998</v>
      </c>
      <c r="E24" s="49">
        <f t="shared" si="4"/>
        <v>5499.8290399999996</v>
      </c>
      <c r="F24" s="49">
        <f t="shared" si="4"/>
        <v>8825.540656799998</v>
      </c>
      <c r="G24" s="49">
        <f t="shared" si="4"/>
        <v>13300.913724055998</v>
      </c>
      <c r="H24" s="49">
        <f t="shared" si="4"/>
        <v>19214.99596368552</v>
      </c>
      <c r="I24" s="49">
        <f t="shared" si="4"/>
        <v>26531.925247474494</v>
      </c>
      <c r="J24" s="49">
        <f t="shared" si="4"/>
        <v>35382.340262448408</v>
      </c>
      <c r="K24" s="49">
        <f t="shared" si="4"/>
        <v>45945.733300000364</v>
      </c>
      <c r="L24" s="49">
        <f t="shared" si="4"/>
        <v>58454.593165824612</v>
      </c>
      <c r="M24" s="49">
        <f t="shared" si="4"/>
        <v>73200.110570942445</v>
      </c>
      <c r="N24" s="49">
        <f t="shared" si="4"/>
        <v>90539.586377234402</v>
      </c>
      <c r="O24" s="49">
        <f t="shared" si="4"/>
        <v>110334.40687591939</v>
      </c>
      <c r="P24" s="49">
        <f t="shared" si="4"/>
        <v>132690.67298120839</v>
      </c>
      <c r="Q24" s="49">
        <f t="shared" si="4"/>
        <v>157768.1848789088</v>
      </c>
      <c r="R24" s="49">
        <f t="shared" si="4"/>
        <v>185779.26196299912</v>
      </c>
      <c r="S24" s="49">
        <f t="shared" si="4"/>
        <v>216988.76732197791</v>
      </c>
      <c r="T24" s="49">
        <f t="shared" si="4"/>
        <v>251715.24860184762</v>
      </c>
      <c r="U24" s="49">
        <f t="shared" si="4"/>
        <v>290333.13635714806</v>
      </c>
      <c r="V24" s="49">
        <f t="shared" si="4"/>
        <v>333275.96699913492</v>
      </c>
      <c r="W24" s="49">
        <f t="shared" si="4"/>
        <v>381040.62092465657</v>
      </c>
      <c r="X24" s="49">
        <f t="shared" si="4"/>
        <v>434192.58801876853</v>
      </c>
      <c r="Y24" s="49">
        <f t="shared" si="4"/>
        <v>493372.29304238444</v>
      </c>
      <c r="Z24" s="49">
        <f t="shared" si="4"/>
        <v>559302.53295015497</v>
      </c>
    </row>
    <row r="26" spans="2:26" ht="15" customHeight="1" x14ac:dyDescent="0.2">
      <c r="B26" s="41" t="s">
        <v>157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2:26" ht="15" customHeight="1" x14ac:dyDescent="0.2">
      <c r="B27" s="15" t="s">
        <v>224</v>
      </c>
      <c r="C27" s="48">
        <f>C9*'Unit-экономика'!$C$13</f>
        <v>117.60000000000001</v>
      </c>
      <c r="D27" s="48">
        <f>D9*'Unit-экономика'!$C$13</f>
        <v>250.48800000000003</v>
      </c>
      <c r="E27" s="48">
        <f>E9*'Unit-экономика'!$C$13</f>
        <v>406.64904000000001</v>
      </c>
      <c r="F27" s="48">
        <f>F9*'Unit-экономика'!$C$13</f>
        <v>595.88590319999992</v>
      </c>
      <c r="G27" s="48">
        <f>G9*'Unit-экономика'!$C$13</f>
        <v>830.46265965599991</v>
      </c>
      <c r="H27" s="48">
        <f>H9*'Unit-экономика'!$C$13</f>
        <v>1125.9245755144798</v>
      </c>
      <c r="I27" s="48">
        <f>I9*'Unit-экономика'!$C$13</f>
        <v>1449.7532679170181</v>
      </c>
      <c r="J27" s="48">
        <f>J9*'Unit-экономика'!$C$13</f>
        <v>1811.2735392543248</v>
      </c>
      <c r="K27" s="48">
        <f>K9*'Unit-экономика'!$C$13</f>
        <v>2220.7714633032656</v>
      </c>
      <c r="L27" s="48">
        <f>L9*'Unit-экономика'!$C$13</f>
        <v>2689.789336893878</v>
      </c>
      <c r="M27" s="48">
        <f>M9*'Unit-экономика'!$C$13</f>
        <v>3231.4529959974766</v>
      </c>
      <c r="N27" s="48">
        <f>N9*'Unit-экономика'!$C$13</f>
        <v>3860.8408454010637</v>
      </c>
      <c r="O27" s="48">
        <f>O9*'Unit-экономика'!$C$13</f>
        <v>4524.6809434528195</v>
      </c>
      <c r="P27" s="48">
        <f>P9*'Unit-экономика'!$C$13</f>
        <v>5234.0901898481707</v>
      </c>
      <c r="Q27" s="48">
        <f>Q9*'Unit-экономика'!$C$13</f>
        <v>6000.3324651701905</v>
      </c>
      <c r="R27" s="48">
        <f>R9*'Unit-экономика'!$C$13</f>
        <v>6835.0380665990133</v>
      </c>
      <c r="S27" s="48">
        <f>S9*'Unit-экономика'!$C$13</f>
        <v>7750.4151702458676</v>
      </c>
      <c r="T27" s="48">
        <f>T9*'Unit-экономика'!$C$13</f>
        <v>8759.4581952689987</v>
      </c>
      <c r="U27" s="48">
        <f>U9*'Unit-экономика'!$C$13</f>
        <v>9876.1575385139877</v>
      </c>
      <c r="V27" s="48">
        <f>V9*'Unit-экономика'!$C$13</f>
        <v>11115.714861780218</v>
      </c>
      <c r="W27" s="48">
        <f>W9*'Unit-экономика'!$C$13</f>
        <v>12494.767932668819</v>
      </c>
      <c r="X27" s="48">
        <f>X9*'Unit-экономика'!$C$13</f>
        <v>14031.628933193309</v>
      </c>
      <c r="Y27" s="48">
        <f>Y9*'Unit-экономика'!$C$13</f>
        <v>15746.540149518018</v>
      </c>
      <c r="Z27" s="48">
        <f>Z9*'Unit-экономика'!$C$13</f>
        <v>17661.951035263635</v>
      </c>
    </row>
    <row r="28" spans="2:26" ht="15" customHeight="1" x14ac:dyDescent="0.2">
      <c r="B28" s="15" t="s">
        <v>225</v>
      </c>
      <c r="C28" s="48">
        <f>C13*'Unit-экономика'!$D$13</f>
        <v>124.41600000000001</v>
      </c>
      <c r="D28" s="48">
        <f>D13*'Unit-экономика'!$D$13</f>
        <v>238.87872000000004</v>
      </c>
      <c r="E28" s="48">
        <f>E13*'Unit-экономика'!$D$13</f>
        <v>484.77450240000013</v>
      </c>
      <c r="F28" s="48">
        <f>F13*'Unit-экономика'!$D$13</f>
        <v>876.21062860800021</v>
      </c>
      <c r="G28" s="48">
        <f>G13*'Unit-экономика'!$D$13</f>
        <v>1436.5367420313603</v>
      </c>
      <c r="H28" s="48">
        <f>H13*'Unit-экономика'!$D$13</f>
        <v>2200.2094001498117</v>
      </c>
      <c r="I28" s="48">
        <f>I13*'Unit-экономика'!$D$13</f>
        <v>3215.3748929270237</v>
      </c>
      <c r="J28" s="48">
        <f>J13*'Unit-экономика'!$D$13</f>
        <v>4491.9246853462955</v>
      </c>
      <c r="K28" s="48">
        <f>K13*'Unit-экономика'!$D$13</f>
        <v>6048.8241855174538</v>
      </c>
      <c r="L28" s="48">
        <f>L13*'Unit-экономика'!$D$13</f>
        <v>7914.4038151177174</v>
      </c>
      <c r="M28" s="48">
        <f>M13*'Unit-экономика'!$D$13</f>
        <v>10126.938841022151</v>
      </c>
      <c r="N28" s="48">
        <f>N13*'Unit-экономика'!$D$13</f>
        <v>12735.529107465059</v>
      </c>
      <c r="O28" s="48">
        <f>O13*'Unit-экономика'!$D$13</f>
        <v>15801.298807961552</v>
      </c>
      <c r="P28" s="48">
        <f>P13*'Unit-экономика'!$D$13</f>
        <v>19324.122660642879</v>
      </c>
      <c r="Q28" s="48">
        <f>Q13*'Unit-экономика'!$D$13</f>
        <v>23315.646632316533</v>
      </c>
      <c r="R28" s="48">
        <f>R13*'Unit-экономика'!$D$13</f>
        <v>27798.501738352083</v>
      </c>
      <c r="S28" s="48">
        <f>S13*'Unit-экономика'!$D$13</f>
        <v>32805.812892600101</v>
      </c>
      <c r="T28" s="48">
        <f>T13*'Unit-экономика'!$D$13</f>
        <v>38380.97076783589</v>
      </c>
      <c r="U28" s="48">
        <f>U13*'Unit-экономика'!$D$13</f>
        <v>44577.642348097688</v>
      </c>
      <c r="V28" s="48">
        <f>V13*'Unit-экономика'!$D$13</f>
        <v>51460.002527526718</v>
      </c>
      <c r="W28" s="48">
        <f>W13*'Unit-экономика'!$D$13</f>
        <v>59103.174946440638</v>
      </c>
      <c r="X28" s="48">
        <f>X13*'Unit-экономика'!$D$13</f>
        <v>67593.875432961126</v>
      </c>
      <c r="Y28" s="48">
        <f>Y13*'Unit-экономика'!$D$13</f>
        <v>77031.256090094466</v>
      </c>
      <c r="Z28" s="48">
        <f>Z13*'Unit-экономика'!$D$13</f>
        <v>87527.952365152509</v>
      </c>
    </row>
    <row r="29" spans="2:26" ht="15" customHeight="1" x14ac:dyDescent="0.2">
      <c r="B29" s="15" t="s">
        <v>226</v>
      </c>
      <c r="C29" s="48">
        <f>C14*'Unit-экономика'!$E$13</f>
        <v>95.039999999999992</v>
      </c>
      <c r="D29" s="48">
        <f>D14*'Unit-экономика'!$E$13</f>
        <v>185.32799999999997</v>
      </c>
      <c r="E29" s="48">
        <f>E14*'Unit-экономика'!$E$13</f>
        <v>378.49679999999995</v>
      </c>
      <c r="F29" s="48">
        <f>F14*'Unit-экономика'!$E$13</f>
        <v>688.2107759999999</v>
      </c>
      <c r="G29" s="48">
        <f>G14*'Unit-экономика'!$E$13</f>
        <v>1135.3733344799998</v>
      </c>
      <c r="H29" s="48">
        <f>H14*'Unit-экономика'!$E$13</f>
        <v>1749.7540824983998</v>
      </c>
      <c r="I29" s="48">
        <f>I14*'Unit-экономика'!$E$13</f>
        <v>2572.1972598096713</v>
      </c>
      <c r="J29" s="48">
        <f>J14*'Unit-экономика'!$E$13</f>
        <v>3615.224731707227</v>
      </c>
      <c r="K29" s="48">
        <f>K14*'Unit-экономика'!$E$13</f>
        <v>4898.2682329682175</v>
      </c>
      <c r="L29" s="48">
        <f>L14*'Unit-экономика'!$E$13</f>
        <v>6448.100738601629</v>
      </c>
      <c r="M29" s="48">
        <f>M14*'Unit-экономика'!$E$13</f>
        <v>8299.4846351612923</v>
      </c>
      <c r="N29" s="48">
        <f>N14*'Unit-экономика'!$E$13</f>
        <v>10496.052008331801</v>
      </c>
      <c r="O29" s="48">
        <f>O14*'Unit-экономика'!$E$13</f>
        <v>13091.439152361785</v>
      </c>
      <c r="P29" s="48">
        <f>P14*'Unit-экономика'!$E$13</f>
        <v>16093.548120472911</v>
      </c>
      <c r="Q29" s="48">
        <f>Q14*'Unit-экономика'!$E$13</f>
        <v>19518.870133183704</v>
      </c>
      <c r="R29" s="48">
        <f>R14*'Unit-экономика'!$E$13</f>
        <v>23392.174904498796</v>
      </c>
      <c r="S29" s="48">
        <f>S14*'Unit-экономика'!$E$13</f>
        <v>27746.392841668159</v>
      </c>
      <c r="T29" s="48">
        <f>T14*'Unit-экономика'!$E$13</f>
        <v>32622.674031048755</v>
      </c>
      <c r="U29" s="48">
        <f>U14*'Unit-экономика'!$E$13</f>
        <v>38070.612666897381</v>
      </c>
      <c r="V29" s="48">
        <f>V14*'Unit-экономика'!$E$13</f>
        <v>44148.629758555646</v>
      </c>
      <c r="W29" s="48">
        <f>W14*'Unit-экономика'!$E$13</f>
        <v>50924.510689535957</v>
      </c>
      <c r="X29" s="48">
        <f>X14*'Unit-экономика'!$E$13</f>
        <v>58476.097606767027</v>
      </c>
      <c r="Y29" s="48">
        <f>Y14*'Unit-экономика'!$E$13</f>
        <v>66892.139782642043</v>
      </c>
      <c r="Z29" s="48">
        <f>Z14*'Unit-экономика'!$E$13</f>
        <v>76273.308098018388</v>
      </c>
    </row>
    <row r="30" spans="2:26" ht="15" customHeight="1" x14ac:dyDescent="0.2">
      <c r="B30" s="15" t="s">
        <v>227</v>
      </c>
      <c r="C30" s="48">
        <f>C15*Допущения!$C$48</f>
        <v>112.2</v>
      </c>
      <c r="D30" s="48">
        <f>D15*Допущения!$C$48</f>
        <v>238.53059999999999</v>
      </c>
      <c r="E30" s="48">
        <f>E15*Допущения!$C$48</f>
        <v>388.96002199999998</v>
      </c>
      <c r="F30" s="48">
        <f>F15*Допущения!$C$48</f>
        <v>572.91367473999981</v>
      </c>
      <c r="G30" s="48">
        <f>G15*Допущения!$C$48</f>
        <v>802.28303427579988</v>
      </c>
      <c r="H30" s="48">
        <f>H15*Допущения!$C$48</f>
        <v>1092.2260056171856</v>
      </c>
      <c r="I30" s="48">
        <f>I15*Допущения!$C$48</f>
        <v>1413.1864978997744</v>
      </c>
      <c r="J30" s="48">
        <f>J15*Допущения!$C$48</f>
        <v>1774.0730922838868</v>
      </c>
      <c r="K30" s="48">
        <f>K15*Допущения!$C$48</f>
        <v>2184.8539193271113</v>
      </c>
      <c r="L30" s="48">
        <f>L15*Допущения!$C$48</f>
        <v>2656.8381798898358</v>
      </c>
      <c r="M30" s="48">
        <f>M15*Допущения!$C$48</f>
        <v>3202.9930361839697</v>
      </c>
      <c r="N30" s="48">
        <f>N15*Допущения!$C$48</f>
        <v>3838.3048306607429</v>
      </c>
      <c r="O30" s="48">
        <f>O15*Допущения!$C$48</f>
        <v>4514.0412762076539</v>
      </c>
      <c r="P30" s="48">
        <f>P15*Допущения!$C$48</f>
        <v>5240.6171314342873</v>
      </c>
      <c r="Q30" s="48">
        <f>Q15*Допущения!$C$48</f>
        <v>6028.7918511979124</v>
      </c>
      <c r="R30" s="48">
        <f>R15*Допущения!$C$48</f>
        <v>6889.8616100759755</v>
      </c>
      <c r="S30" s="48">
        <f>S15*Допущения!$C$48</f>
        <v>7835.8490097460581</v>
      </c>
      <c r="T30" s="48">
        <f>T15*Допущения!$C$48</f>
        <v>8879.6944832417921</v>
      </c>
      <c r="U30" s="48">
        <f>U15*Допущения!$C$48</f>
        <v>10035.453162758424</v>
      </c>
      <c r="V30" s="48">
        <f>V15*Допущения!$C$48</f>
        <v>11318.500825438306</v>
      </c>
      <c r="W30" s="48">
        <f>W15*Допущения!$C$48</f>
        <v>12745.752463657976</v>
      </c>
      <c r="X30" s="48">
        <f>X15*Допущения!$C$48</f>
        <v>14335.897035451524</v>
      </c>
      <c r="Y30" s="48">
        <f>Y15*Допущения!$C$48</f>
        <v>16109.652031611717</v>
      </c>
      <c r="Z30" s="48">
        <f>Z15*Допущения!$C$48</f>
        <v>18090.041645315268</v>
      </c>
    </row>
    <row r="31" spans="2:26" ht="15" customHeight="1" x14ac:dyDescent="0.2">
      <c r="B31" s="15" t="s">
        <v>228</v>
      </c>
      <c r="C31" s="48">
        <f>C16*Допущения!$C$49</f>
        <v>10</v>
      </c>
      <c r="D31" s="48">
        <f>D16*Допущения!$C$49</f>
        <v>19.23</v>
      </c>
      <c r="E31" s="48">
        <f>E16*Допущения!$C$49</f>
        <v>39.050100000000008</v>
      </c>
      <c r="F31" s="48">
        <f>F16*Допущения!$C$49</f>
        <v>70.624567000000013</v>
      </c>
      <c r="G31" s="48">
        <f>G16*Допущения!$C$49</f>
        <v>115.86240989000001</v>
      </c>
      <c r="H31" s="48">
        <f>H16*Допущения!$C$49</f>
        <v>177.5693782463</v>
      </c>
      <c r="I31" s="48">
        <f>I16*Допущения!$C$49</f>
        <v>259.65803502402099</v>
      </c>
      <c r="J31" s="48">
        <f>J16*Допущения!$C$49</f>
        <v>362.97566228391207</v>
      </c>
      <c r="K31" s="48">
        <f>K16*Допущения!$C$49</f>
        <v>489.09863750421619</v>
      </c>
      <c r="L31" s="48">
        <f>L16*Допущения!$C$49</f>
        <v>640.35802785706994</v>
      </c>
      <c r="M31" s="48">
        <f>M16*Допущения!$C$49</f>
        <v>819.88835403186636</v>
      </c>
      <c r="N31" s="48">
        <f>N16*Допущения!$C$49</f>
        <v>1031.7004905529679</v>
      </c>
      <c r="O31" s="48">
        <f>O16*Допущения!$C$49</f>
        <v>1280.7803920149142</v>
      </c>
      <c r="P31" s="48">
        <f>P16*Допущения!$C$49</f>
        <v>1567.2021402819096</v>
      </c>
      <c r="Q31" s="48">
        <f>Q16*Допущения!$C$49</f>
        <v>1891.9816996039547</v>
      </c>
      <c r="R31" s="48">
        <f>R16*Допущения!$C$49</f>
        <v>2257.0167756278338</v>
      </c>
      <c r="S31" s="48">
        <f>S16*Допущения!$C$49</f>
        <v>2665.0500471200949</v>
      </c>
      <c r="T31" s="48">
        <f>T16*Допущения!$C$49</f>
        <v>3119.6532834587588</v>
      </c>
      <c r="U31" s="48">
        <f>U16*Допущения!$C$49</f>
        <v>3625.2304693820388</v>
      </c>
      <c r="V31" s="48">
        <f>V16*Допущения!$C$49</f>
        <v>4187.0385851778383</v>
      </c>
      <c r="W31" s="48">
        <f>W16*Допущения!$C$49</f>
        <v>4811.2251520024756</v>
      </c>
      <c r="X31" s="48">
        <f>X16*Допущения!$C$49</f>
        <v>5504.8820623776801</v>
      </c>
      <c r="Y31" s="48">
        <f>Y16*Допущения!$C$49</f>
        <v>6276.1155871426918</v>
      </c>
      <c r="Z31" s="48">
        <f>Z16*Допущения!$C$49</f>
        <v>7134.1327925972419</v>
      </c>
    </row>
    <row r="32" spans="2:26" ht="15" customHeight="1" x14ac:dyDescent="0.2">
      <c r="B32" s="15" t="s">
        <v>130</v>
      </c>
      <c r="C32" s="48">
        <f>(C20+C21)*Допущения!$C$50</f>
        <v>16.8</v>
      </c>
      <c r="D32" s="48">
        <f>(D20+D21)*Допущения!$C$50</f>
        <v>32.436</v>
      </c>
      <c r="E32" s="48">
        <f>(E20+E21)*Допущения!$C$50</f>
        <v>65.976120000000009</v>
      </c>
      <c r="F32" s="48">
        <f>(F20+F21)*Допущения!$C$50</f>
        <v>119.5076004</v>
      </c>
      <c r="G32" s="48">
        <f>(G20+G21)*Допущения!$C$50</f>
        <v>196.37697946799997</v>
      </c>
      <c r="H32" s="48">
        <f>(H20+H21)*Допущения!$C$50</f>
        <v>301.45467220356005</v>
      </c>
      <c r="I32" s="48">
        <f>(I20+I21)*Допущения!$C$50</f>
        <v>441.49859454446516</v>
      </c>
      <c r="J32" s="48">
        <f>(J20+J21)*Допущения!$C$50</f>
        <v>618.15790240267563</v>
      </c>
      <c r="K32" s="48">
        <f>(K20+K21)*Допущения!$C$50</f>
        <v>834.30564949840368</v>
      </c>
      <c r="L32" s="48">
        <f>(L20+L21)*Допущения!$C$50</f>
        <v>1094.0912868932128</v>
      </c>
      <c r="M32" s="48">
        <f>(M20+M21)*Допущения!$C$50</f>
        <v>1403.0319155029515</v>
      </c>
      <c r="N32" s="48">
        <f>(N20+N21)*Допущения!$C$50</f>
        <v>1768.1442254479957</v>
      </c>
      <c r="O32" s="48">
        <f>(O20+O21)*Допущения!$C$50</f>
        <v>2198.1202659917244</v>
      </c>
      <c r="P32" s="48">
        <f>(P20+P21)*Допущения!$C$50</f>
        <v>2693.4480289682365</v>
      </c>
      <c r="Q32" s="48">
        <f>(Q20+Q21)*Допущения!$C$50</f>
        <v>3256.1795614027101</v>
      </c>
      <c r="R32" s="48">
        <f>(R20+R21)*Допущения!$C$50</f>
        <v>3889.8431057280873</v>
      </c>
      <c r="S32" s="48">
        <f>(S20+S21)*Допущения!$C$50</f>
        <v>4599.3930283455347</v>
      </c>
      <c r="T32" s="48">
        <f>(T20+T21)*Допущения!$C$50</f>
        <v>5391.1937396984276</v>
      </c>
      <c r="U32" s="48">
        <f>(U20+U21)*Допущения!$C$50</f>
        <v>6273.0347787583141</v>
      </c>
      <c r="V32" s="48">
        <f>(V20+V21)*Допущения!$C$50</f>
        <v>7254.1750778980349</v>
      </c>
      <c r="W32" s="48">
        <f>(W20+W21)*Допущения!$C$50</f>
        <v>8345.4151667229689</v>
      </c>
      <c r="X32" s="48">
        <f>(X20+X21)*Допущения!$C$50</f>
        <v>9559.1967378212485</v>
      </c>
      <c r="Y32" s="48">
        <f>(Y20+Y21)*Допущения!$C$50</f>
        <v>10909.729602684465</v>
      </c>
      <c r="Z32" s="48">
        <f>(Z20+Z21)*Допущения!$C$50</f>
        <v>12413.146628794388</v>
      </c>
    </row>
    <row r="33" spans="2:26" ht="15" customHeight="1" x14ac:dyDescent="0.2">
      <c r="B33" s="15" t="s">
        <v>229</v>
      </c>
      <c r="C33" s="48">
        <f>C8*Допущения!$C$38</f>
        <v>1500</v>
      </c>
      <c r="D33" s="48">
        <f>D8*Допущения!$C$38</f>
        <v>1950</v>
      </c>
      <c r="E33" s="48">
        <f>E8*Допущения!$C$38</f>
        <v>2535</v>
      </c>
      <c r="F33" s="48">
        <f>F8*Допущения!$C$38</f>
        <v>3295.5</v>
      </c>
      <c r="G33" s="48">
        <f>G8*Допущения!$C$38</f>
        <v>4284.1499999999996</v>
      </c>
      <c r="H33" s="48">
        <f>H8*Допущения!$C$38</f>
        <v>5569.3949999999995</v>
      </c>
      <c r="I33" s="48">
        <f>I8*Допущения!$C$38</f>
        <v>6571.8860999999997</v>
      </c>
      <c r="J33" s="48">
        <f>J8*Допущения!$C$38</f>
        <v>7754.8255979999994</v>
      </c>
      <c r="K33" s="48">
        <f>K8*Допущения!$C$38</f>
        <v>9150.6942056399985</v>
      </c>
      <c r="L33" s="48">
        <f>L8*Допущения!$C$38</f>
        <v>10797.819162655196</v>
      </c>
      <c r="M33" s="48">
        <f>M8*Допущения!$C$38</f>
        <v>12741.426611933133</v>
      </c>
      <c r="N33" s="48">
        <f>N8*Допущения!$C$38</f>
        <v>15034.883402081094</v>
      </c>
      <c r="O33" s="48">
        <f>O8*Допущения!$C$38</f>
        <v>16839.069410330827</v>
      </c>
      <c r="P33" s="48">
        <f>P8*Допущения!$C$38</f>
        <v>18859.75773957053</v>
      </c>
      <c r="Q33" s="48">
        <f>Q8*Допущения!$C$38</f>
        <v>21122.928668318997</v>
      </c>
      <c r="R33" s="48">
        <f>R8*Допущения!$C$38</f>
        <v>23657.680108517277</v>
      </c>
      <c r="S33" s="48">
        <f>S8*Допущения!$C$38</f>
        <v>26496.601721539359</v>
      </c>
      <c r="T33" s="48">
        <f>T8*Допущения!$C$38</f>
        <v>29676.193928124085</v>
      </c>
      <c r="U33" s="48">
        <f>U8*Допущения!$C$38</f>
        <v>33237.337199498979</v>
      </c>
      <c r="V33" s="48">
        <f>V8*Допущения!$C$38</f>
        <v>37225.817663438858</v>
      </c>
      <c r="W33" s="48">
        <f>W8*Допущения!$C$38</f>
        <v>41692.915783051525</v>
      </c>
      <c r="X33" s="48">
        <f>X8*Допущения!$C$38</f>
        <v>46696.065677017716</v>
      </c>
      <c r="Y33" s="48">
        <f>Y8*Допущения!$C$38</f>
        <v>52299.593558259847</v>
      </c>
      <c r="Z33" s="48">
        <f>Z8*Допущения!$C$38</f>
        <v>58575.544785251026</v>
      </c>
    </row>
    <row r="34" spans="2:26" ht="15" customHeight="1" x14ac:dyDescent="0.2">
      <c r="B34" s="31" t="s">
        <v>230</v>
      </c>
      <c r="C34" s="50">
        <f t="shared" ref="C34:Z34" si="5">SUM(C27:C33)</f>
        <v>1976.056</v>
      </c>
      <c r="D34" s="50">
        <f t="shared" si="5"/>
        <v>2914.8913200000002</v>
      </c>
      <c r="E34" s="50">
        <f t="shared" si="5"/>
        <v>4298.9065843999997</v>
      </c>
      <c r="F34" s="50">
        <f t="shared" si="5"/>
        <v>6218.8531499479996</v>
      </c>
      <c r="G34" s="50">
        <f t="shared" si="5"/>
        <v>8801.0451598011605</v>
      </c>
      <c r="H34" s="50">
        <f t="shared" si="5"/>
        <v>12216.533114229736</v>
      </c>
      <c r="I34" s="50">
        <f t="shared" si="5"/>
        <v>15923.554648121974</v>
      </c>
      <c r="J34" s="50">
        <f t="shared" si="5"/>
        <v>20428.45521127832</v>
      </c>
      <c r="K34" s="50">
        <f t="shared" si="5"/>
        <v>25826.816293758668</v>
      </c>
      <c r="L34" s="50">
        <f t="shared" si="5"/>
        <v>32241.400547908543</v>
      </c>
      <c r="M34" s="50">
        <f t="shared" si="5"/>
        <v>39825.216389832844</v>
      </c>
      <c r="N34" s="50">
        <f t="shared" si="5"/>
        <v>48765.45490994073</v>
      </c>
      <c r="O34" s="50">
        <f t="shared" si="5"/>
        <v>58249.430248321274</v>
      </c>
      <c r="P34" s="50">
        <f t="shared" si="5"/>
        <v>69012.786011218937</v>
      </c>
      <c r="Q34" s="50">
        <f t="shared" si="5"/>
        <v>81134.731011194002</v>
      </c>
      <c r="R34" s="50">
        <f t="shared" si="5"/>
        <v>94720.116309399062</v>
      </c>
      <c r="S34" s="50">
        <f t="shared" si="5"/>
        <v>109899.51471126519</v>
      </c>
      <c r="T34" s="50">
        <f t="shared" si="5"/>
        <v>126829.83842867671</v>
      </c>
      <c r="U34" s="50">
        <f t="shared" si="5"/>
        <v>145695.4681639068</v>
      </c>
      <c r="V34" s="50">
        <f t="shared" si="5"/>
        <v>166709.8792998156</v>
      </c>
      <c r="W34" s="50">
        <f t="shared" si="5"/>
        <v>190117.76213408035</v>
      </c>
      <c r="X34" s="50">
        <f t="shared" si="5"/>
        <v>216197.64348558959</v>
      </c>
      <c r="Y34" s="50">
        <f t="shared" si="5"/>
        <v>245265.02680195327</v>
      </c>
      <c r="Z34" s="50">
        <f t="shared" si="5"/>
        <v>277676.07735039247</v>
      </c>
    </row>
    <row r="36" spans="2:26" ht="15" customHeight="1" x14ac:dyDescent="0.2">
      <c r="B36" s="51" t="s">
        <v>231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2:26" ht="15" customHeight="1" x14ac:dyDescent="0.2">
      <c r="B37" s="31" t="s">
        <v>232</v>
      </c>
      <c r="C37" s="49">
        <f t="shared" ref="C37:Z37" si="6">C24-C34</f>
        <v>-462.05600000000004</v>
      </c>
      <c r="D37" s="49">
        <f t="shared" si="6"/>
        <v>197.50067999999965</v>
      </c>
      <c r="E37" s="49">
        <f t="shared" si="6"/>
        <v>1200.9224555999999</v>
      </c>
      <c r="F37" s="49">
        <f t="shared" si="6"/>
        <v>2606.6875068519985</v>
      </c>
      <c r="G37" s="49">
        <f t="shared" si="6"/>
        <v>4499.8685642548371</v>
      </c>
      <c r="H37" s="49">
        <f t="shared" si="6"/>
        <v>6998.4628494557837</v>
      </c>
      <c r="I37" s="49">
        <f t="shared" si="6"/>
        <v>10608.37059935252</v>
      </c>
      <c r="J37" s="49">
        <f t="shared" si="6"/>
        <v>14953.885051170088</v>
      </c>
      <c r="K37" s="49">
        <f t="shared" si="6"/>
        <v>20118.917006241696</v>
      </c>
      <c r="L37" s="49">
        <f t="shared" si="6"/>
        <v>26213.192617916069</v>
      </c>
      <c r="M37" s="49">
        <f t="shared" si="6"/>
        <v>33374.894181109601</v>
      </c>
      <c r="N37" s="49">
        <f t="shared" si="6"/>
        <v>41774.131467293671</v>
      </c>
      <c r="O37" s="49">
        <f t="shared" si="6"/>
        <v>52084.976627598116</v>
      </c>
      <c r="P37" s="49">
        <f t="shared" si="6"/>
        <v>63677.886969989457</v>
      </c>
      <c r="Q37" s="49">
        <f t="shared" si="6"/>
        <v>76633.453867714794</v>
      </c>
      <c r="R37" s="49">
        <f t="shared" si="6"/>
        <v>91059.145653600062</v>
      </c>
      <c r="S37" s="49">
        <f t="shared" si="6"/>
        <v>107089.25261071272</v>
      </c>
      <c r="T37" s="49">
        <f t="shared" si="6"/>
        <v>124885.41017317091</v>
      </c>
      <c r="U37" s="49">
        <f t="shared" si="6"/>
        <v>144637.66819324126</v>
      </c>
      <c r="V37" s="49">
        <f t="shared" si="6"/>
        <v>166566.08769931932</v>
      </c>
      <c r="W37" s="49">
        <f t="shared" si="6"/>
        <v>190922.85879057623</v>
      </c>
      <c r="X37" s="49">
        <f t="shared" si="6"/>
        <v>217994.94453317893</v>
      </c>
      <c r="Y37" s="49">
        <f t="shared" si="6"/>
        <v>248107.26624043117</v>
      </c>
      <c r="Z37" s="49">
        <f t="shared" si="6"/>
        <v>281626.4555997625</v>
      </c>
    </row>
    <row r="38" spans="2:26" ht="15" customHeight="1" x14ac:dyDescent="0.2">
      <c r="B38" s="15" t="s">
        <v>233</v>
      </c>
      <c r="C38" s="47">
        <f t="shared" ref="C38:Z38" si="7">IF(C24=0,0,C37/C24)</f>
        <v>-0.30518890356671075</v>
      </c>
      <c r="D38" s="47">
        <f t="shared" si="7"/>
        <v>6.3456235589861326E-2</v>
      </c>
      <c r="E38" s="47">
        <f t="shared" si="7"/>
        <v>0.21835632469041255</v>
      </c>
      <c r="F38" s="47">
        <f t="shared" si="7"/>
        <v>0.29535726004996304</v>
      </c>
      <c r="G38" s="47">
        <f t="shared" si="7"/>
        <v>0.33831273983203025</v>
      </c>
      <c r="H38" s="47">
        <f t="shared" si="7"/>
        <v>0.36421880403629542</v>
      </c>
      <c r="I38" s="47">
        <f t="shared" si="7"/>
        <v>0.39983418091238232</v>
      </c>
      <c r="J38" s="47">
        <f t="shared" si="7"/>
        <v>0.42263696918433569</v>
      </c>
      <c r="K38" s="47">
        <f t="shared" si="7"/>
        <v>0.43788433791830539</v>
      </c>
      <c r="L38" s="47">
        <f t="shared" si="7"/>
        <v>0.44843683273193274</v>
      </c>
      <c r="M38" s="47">
        <f t="shared" si="7"/>
        <v>0.45594048862486442</v>
      </c>
      <c r="N38" s="47">
        <f t="shared" si="7"/>
        <v>0.46139079201490046</v>
      </c>
      <c r="O38" s="47">
        <f t="shared" si="7"/>
        <v>0.47206468138422303</v>
      </c>
      <c r="P38" s="47">
        <f t="shared" si="7"/>
        <v>0.47989723421636044</v>
      </c>
      <c r="Q38" s="47">
        <f t="shared" si="7"/>
        <v>0.4857345219920795</v>
      </c>
      <c r="R38" s="47">
        <f t="shared" si="7"/>
        <v>0.49014698783622002</v>
      </c>
      <c r="S38" s="47">
        <f t="shared" si="7"/>
        <v>0.49352440650445634</v>
      </c>
      <c r="T38" s="47">
        <f t="shared" si="7"/>
        <v>0.49613764309809172</v>
      </c>
      <c r="U38" s="47">
        <f t="shared" si="7"/>
        <v>0.49817829961826282</v>
      </c>
      <c r="V38" s="47">
        <f t="shared" si="7"/>
        <v>0.49978427547327969</v>
      </c>
      <c r="W38" s="47">
        <f t="shared" si="7"/>
        <v>0.50105644465745169</v>
      </c>
      <c r="X38" s="47">
        <f t="shared" si="7"/>
        <v>0.50206970489269576</v>
      </c>
      <c r="Y38" s="47">
        <f t="shared" si="7"/>
        <v>0.50288042060585847</v>
      </c>
      <c r="Z38" s="47">
        <f t="shared" si="7"/>
        <v>0.50353152186575389</v>
      </c>
    </row>
    <row r="39" spans="2:26" ht="15" customHeight="1" x14ac:dyDescent="0.2">
      <c r="B39" s="31" t="s">
        <v>234</v>
      </c>
      <c r="C39" s="53">
        <f>C37</f>
        <v>-462.05600000000004</v>
      </c>
      <c r="D39" s="53">
        <f t="shared" ref="D39:Z39" si="8">C39+D37</f>
        <v>-264.55532000000039</v>
      </c>
      <c r="E39" s="53">
        <f t="shared" si="8"/>
        <v>936.36713559999953</v>
      </c>
      <c r="F39" s="53">
        <f t="shared" si="8"/>
        <v>3543.054642451998</v>
      </c>
      <c r="G39" s="53">
        <f t="shared" si="8"/>
        <v>8042.9232067068351</v>
      </c>
      <c r="H39" s="53">
        <f t="shared" si="8"/>
        <v>15041.386056162619</v>
      </c>
      <c r="I39" s="53">
        <f t="shared" si="8"/>
        <v>25649.756655515139</v>
      </c>
      <c r="J39" s="53">
        <f t="shared" si="8"/>
        <v>40603.64170668523</v>
      </c>
      <c r="K39" s="53">
        <f t="shared" si="8"/>
        <v>60722.558712926926</v>
      </c>
      <c r="L39" s="53">
        <f t="shared" si="8"/>
        <v>86935.751330842992</v>
      </c>
      <c r="M39" s="53">
        <f t="shared" si="8"/>
        <v>120310.64551195259</v>
      </c>
      <c r="N39" s="53">
        <f t="shared" si="8"/>
        <v>162084.77697924626</v>
      </c>
      <c r="O39" s="53">
        <f t="shared" si="8"/>
        <v>214169.75360684437</v>
      </c>
      <c r="P39" s="53">
        <f t="shared" si="8"/>
        <v>277847.64057683386</v>
      </c>
      <c r="Q39" s="53">
        <f t="shared" si="8"/>
        <v>354481.09444454865</v>
      </c>
      <c r="R39" s="53">
        <f t="shared" si="8"/>
        <v>445540.2400981487</v>
      </c>
      <c r="S39" s="53">
        <f t="shared" si="8"/>
        <v>552629.49270886136</v>
      </c>
      <c r="T39" s="53">
        <f t="shared" si="8"/>
        <v>677514.90288203233</v>
      </c>
      <c r="U39" s="53">
        <f t="shared" si="8"/>
        <v>822152.57107527356</v>
      </c>
      <c r="V39" s="53">
        <f t="shared" si="8"/>
        <v>988718.65877459291</v>
      </c>
      <c r="W39" s="53">
        <f t="shared" si="8"/>
        <v>1179641.5175651691</v>
      </c>
      <c r="X39" s="53">
        <f t="shared" si="8"/>
        <v>1397636.462098348</v>
      </c>
      <c r="Y39" s="53">
        <f t="shared" si="8"/>
        <v>1645743.7283387792</v>
      </c>
      <c r="Z39" s="53">
        <f t="shared" si="8"/>
        <v>1927370.1839385417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93"/>
  <sheetViews>
    <sheetView zoomScaleNormal="100" workbookViewId="0"/>
  </sheetViews>
  <sheetFormatPr baseColWidth="10" defaultColWidth="8.6640625" defaultRowHeight="15" x14ac:dyDescent="0.2"/>
  <cols>
    <col min="1" max="1" width="2" customWidth="1"/>
  </cols>
  <sheetData>
    <row r="2" spans="2:2" ht="21.75" customHeight="1" x14ac:dyDescent="0.25">
      <c r="B2" s="12" t="s">
        <v>13</v>
      </c>
    </row>
    <row r="88" spans="2:5" ht="17.25" customHeight="1" x14ac:dyDescent="0.2">
      <c r="B88" s="54" t="s">
        <v>235</v>
      </c>
    </row>
    <row r="90" spans="2:5" ht="15" customHeight="1" x14ac:dyDescent="0.2">
      <c r="B90" s="55" t="s">
        <v>236</v>
      </c>
      <c r="C90" s="55" t="s">
        <v>237</v>
      </c>
      <c r="D90" s="55" t="s">
        <v>238</v>
      </c>
      <c r="E90" s="55" t="s">
        <v>239</v>
      </c>
    </row>
    <row r="91" spans="2:5" ht="15" customHeight="1" x14ac:dyDescent="0.2">
      <c r="B91" s="7" t="s">
        <v>175</v>
      </c>
      <c r="C91" s="56">
        <f>'Unit-экономика'!$C$10</f>
        <v>0.95</v>
      </c>
      <c r="D91" s="56">
        <f>'Unit-экономика'!$C$17</f>
        <v>0.22760000000000002</v>
      </c>
      <c r="E91" s="56">
        <f>'Unit-экономика'!$C$20</f>
        <v>0.72239999999999993</v>
      </c>
    </row>
    <row r="92" spans="2:5" ht="15" customHeight="1" x14ac:dyDescent="0.2">
      <c r="B92" s="7" t="s">
        <v>177</v>
      </c>
      <c r="C92" s="56">
        <f>'Unit-экономика'!$D$10</f>
        <v>20.2</v>
      </c>
      <c r="D92" s="56">
        <f>'Unit-экономика'!$D$17</f>
        <v>8.1220000000000017</v>
      </c>
      <c r="E92" s="56">
        <f>'Unit-экономика'!$D$20</f>
        <v>12.077999999999998</v>
      </c>
    </row>
    <row r="93" spans="2:5" ht="15" customHeight="1" x14ac:dyDescent="0.2">
      <c r="B93" s="7" t="s">
        <v>179</v>
      </c>
      <c r="C93" s="56">
        <f>'Unit-экономика'!$E$10</f>
        <v>100.2</v>
      </c>
      <c r="D93" s="56">
        <f>'Unit-экономика'!$E$17</f>
        <v>51.129999999999995</v>
      </c>
      <c r="E93" s="56">
        <f>'Unit-экономика'!$E$20</f>
        <v>49.070000000000007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80"/>
  <sheetViews>
    <sheetView zoomScaleNormal="100" workbookViewId="0"/>
  </sheetViews>
  <sheetFormatPr baseColWidth="10" defaultColWidth="8.6640625" defaultRowHeight="15" x14ac:dyDescent="0.2"/>
  <cols>
    <col min="1" max="1" width="2" customWidth="1"/>
    <col min="2" max="2" width="38" customWidth="1"/>
    <col min="3" max="26" width="10" customWidth="1"/>
  </cols>
  <sheetData>
    <row r="2" spans="2:7" ht="21.75" customHeight="1" x14ac:dyDescent="0.25">
      <c r="B2" s="12" t="s">
        <v>240</v>
      </c>
    </row>
    <row r="3" spans="2:7" ht="15" customHeight="1" x14ac:dyDescent="0.2">
      <c r="B3" s="23" t="s">
        <v>241</v>
      </c>
    </row>
    <row r="5" spans="2:7" ht="15" customHeight="1" x14ac:dyDescent="0.2">
      <c r="B5" s="39" t="s">
        <v>45</v>
      </c>
      <c r="C5" s="57" t="s">
        <v>242</v>
      </c>
      <c r="D5" s="58" t="s">
        <v>243</v>
      </c>
      <c r="E5" s="59" t="s">
        <v>244</v>
      </c>
      <c r="G5" s="39" t="s">
        <v>148</v>
      </c>
    </row>
    <row r="6" spans="2:7" ht="15" customHeight="1" x14ac:dyDescent="0.2">
      <c r="B6" s="14" t="s">
        <v>245</v>
      </c>
      <c r="C6" s="42"/>
      <c r="D6" s="42"/>
      <c r="E6" s="42"/>
      <c r="G6" s="42"/>
    </row>
    <row r="7" spans="2:7" ht="53.25" customHeight="1" x14ac:dyDescent="0.2">
      <c r="B7" s="15" t="s">
        <v>246</v>
      </c>
      <c r="C7" s="19">
        <v>0.01</v>
      </c>
      <c r="D7" s="19">
        <v>0.02</v>
      </c>
      <c r="E7" s="19">
        <v>3.5000000000000003E-2</v>
      </c>
      <c r="G7" s="18" t="s">
        <v>247</v>
      </c>
    </row>
    <row r="8" spans="2:7" ht="42.75" customHeight="1" x14ac:dyDescent="0.2">
      <c r="B8" s="15" t="s">
        <v>248</v>
      </c>
      <c r="C8" s="19">
        <v>0.12</v>
      </c>
      <c r="D8" s="19">
        <v>0.08</v>
      </c>
      <c r="E8" s="19">
        <v>0.06</v>
      </c>
      <c r="G8" s="18" t="s">
        <v>249</v>
      </c>
    </row>
    <row r="9" spans="2:7" ht="42.75" customHeight="1" x14ac:dyDescent="0.2">
      <c r="B9" s="15" t="s">
        <v>250</v>
      </c>
      <c r="C9" s="19">
        <v>0.08</v>
      </c>
      <c r="D9" s="19">
        <v>0.05</v>
      </c>
      <c r="E9" s="19">
        <v>0.04</v>
      </c>
      <c r="G9" s="18" t="s">
        <v>251</v>
      </c>
    </row>
    <row r="10" spans="2:7" ht="15" customHeight="1" x14ac:dyDescent="0.2">
      <c r="B10" s="14" t="s">
        <v>252</v>
      </c>
      <c r="C10" s="42"/>
      <c r="D10" s="42"/>
      <c r="E10" s="42"/>
      <c r="G10" s="42"/>
    </row>
    <row r="11" spans="2:7" ht="53.25" customHeight="1" x14ac:dyDescent="0.2">
      <c r="B11" s="15" t="s">
        <v>253</v>
      </c>
      <c r="C11" s="19">
        <v>0.2</v>
      </c>
      <c r="D11" s="19">
        <v>0.3</v>
      </c>
      <c r="E11" s="19">
        <v>0.4</v>
      </c>
      <c r="G11" s="18" t="s">
        <v>254</v>
      </c>
    </row>
    <row r="12" spans="2:7" ht="32.25" customHeight="1" x14ac:dyDescent="0.2">
      <c r="B12" s="15" t="s">
        <v>255</v>
      </c>
      <c r="C12" s="19">
        <v>0.12</v>
      </c>
      <c r="D12" s="19">
        <v>0.18</v>
      </c>
      <c r="E12" s="19">
        <v>0.22</v>
      </c>
      <c r="G12" s="18" t="s">
        <v>256</v>
      </c>
    </row>
    <row r="13" spans="2:7" ht="21.75" customHeight="1" x14ac:dyDescent="0.2">
      <c r="B13" s="15" t="s">
        <v>257</v>
      </c>
      <c r="C13" s="19">
        <v>0.08</v>
      </c>
      <c r="D13" s="19">
        <v>0.12</v>
      </c>
      <c r="E13" s="19">
        <v>0.15</v>
      </c>
      <c r="G13" s="18" t="s">
        <v>141</v>
      </c>
    </row>
    <row r="14" spans="2:7" ht="15" customHeight="1" x14ac:dyDescent="0.2">
      <c r="B14" s="14" t="s">
        <v>258</v>
      </c>
      <c r="C14" s="42"/>
      <c r="D14" s="42"/>
      <c r="E14" s="42"/>
      <c r="G14" s="42"/>
    </row>
    <row r="15" spans="2:7" ht="53.25" customHeight="1" x14ac:dyDescent="0.2">
      <c r="B15" s="15" t="s">
        <v>259</v>
      </c>
      <c r="C15" s="19">
        <v>0.3</v>
      </c>
      <c r="D15" s="19">
        <v>0.5</v>
      </c>
      <c r="E15" s="19">
        <v>0.65</v>
      </c>
      <c r="G15" s="18" t="s">
        <v>260</v>
      </c>
    </row>
    <row r="16" spans="2:7" ht="53.25" customHeight="1" x14ac:dyDescent="0.2">
      <c r="B16" s="15" t="s">
        <v>261</v>
      </c>
      <c r="C16" s="21">
        <v>0.3</v>
      </c>
      <c r="D16" s="21">
        <v>0.75</v>
      </c>
      <c r="E16" s="21">
        <v>1.2</v>
      </c>
      <c r="G16" s="18" t="s">
        <v>262</v>
      </c>
    </row>
    <row r="17" spans="2:26" ht="53.25" customHeight="1" x14ac:dyDescent="0.2">
      <c r="B17" s="15" t="s">
        <v>263</v>
      </c>
      <c r="C17" s="21">
        <v>2.5</v>
      </c>
      <c r="D17" s="21">
        <v>1.5</v>
      </c>
      <c r="E17" s="21">
        <v>1</v>
      </c>
      <c r="G17" s="18" t="s">
        <v>264</v>
      </c>
    </row>
    <row r="19" spans="2:26" ht="15" customHeight="1" x14ac:dyDescent="0.2">
      <c r="B19" s="37" t="s">
        <v>265</v>
      </c>
      <c r="C19" s="52"/>
      <c r="D19" s="52"/>
      <c r="E19" s="52"/>
      <c r="G19" s="52"/>
    </row>
    <row r="20" spans="2:26" ht="15" customHeight="1" x14ac:dyDescent="0.2">
      <c r="B20" s="15" t="s">
        <v>266</v>
      </c>
      <c r="C20" s="60">
        <f>Z41</f>
        <v>57890.809119874153</v>
      </c>
      <c r="D20" s="61">
        <f>Z58</f>
        <v>164454.92404832062</v>
      </c>
      <c r="E20" s="62">
        <f>Z75</f>
        <v>376477.72682137851</v>
      </c>
      <c r="G20" s="63" t="s">
        <v>267</v>
      </c>
    </row>
    <row r="21" spans="2:26" ht="15" customHeight="1" x14ac:dyDescent="0.2">
      <c r="B21" s="15" t="s">
        <v>268</v>
      </c>
      <c r="C21" s="60">
        <f>Z42</f>
        <v>2652.1044249587794</v>
      </c>
      <c r="D21" s="61">
        <f>Z59</f>
        <v>14268.265585194484</v>
      </c>
      <c r="E21" s="62">
        <f>Z76</f>
        <v>51508.146199250121</v>
      </c>
      <c r="G21" s="63" t="s">
        <v>269</v>
      </c>
    </row>
    <row r="22" spans="2:26" ht="15" customHeight="1" x14ac:dyDescent="0.2">
      <c r="B22" s="15" t="s">
        <v>270</v>
      </c>
      <c r="C22" s="64">
        <f>Z42/Z41</f>
        <v>4.5812184443079426E-2</v>
      </c>
      <c r="D22" s="65">
        <f>Z59/Z58</f>
        <v>8.6760950867011688E-2</v>
      </c>
      <c r="E22" s="66">
        <f>Z76/Z75</f>
        <v>0.13681591905618465</v>
      </c>
      <c r="G22" s="63" t="s">
        <v>271</v>
      </c>
    </row>
    <row r="23" spans="2:26" ht="15" customHeight="1" x14ac:dyDescent="0.2">
      <c r="B23" s="15" t="s">
        <v>272</v>
      </c>
      <c r="C23" s="67">
        <f>SUM(C43:N43)</f>
        <v>132430.99374235288</v>
      </c>
      <c r="D23" s="68">
        <f>SUM(C60:N60)</f>
        <v>381521.96030846622</v>
      </c>
      <c r="E23" s="69">
        <f>SUM(C77:N77)</f>
        <v>871479.61882421351</v>
      </c>
      <c r="G23" s="63" t="s">
        <v>273</v>
      </c>
    </row>
    <row r="24" spans="2:26" ht="15" customHeight="1" x14ac:dyDescent="0.2">
      <c r="B24" s="15" t="s">
        <v>274</v>
      </c>
      <c r="C24" s="67">
        <f>SUM(O43:Z43)</f>
        <v>783983.3225712881</v>
      </c>
      <c r="D24" s="68">
        <f>SUM(O60:Z60)</f>
        <v>3546793.6809151089</v>
      </c>
      <c r="E24" s="69">
        <f>SUM(O77:Z77)</f>
        <v>11164950.549828274</v>
      </c>
      <c r="G24" s="63" t="s">
        <v>275</v>
      </c>
    </row>
    <row r="25" spans="2:26" ht="15" customHeight="1" x14ac:dyDescent="0.2">
      <c r="B25" s="31" t="s">
        <v>276</v>
      </c>
      <c r="C25" s="67">
        <f>SUM(C43:Z43)</f>
        <v>916414.31631364103</v>
      </c>
      <c r="D25" s="68">
        <f>SUM(C60:Z60)</f>
        <v>3928315.641223575</v>
      </c>
      <c r="E25" s="69">
        <f>SUM(C77:Z77)</f>
        <v>12036430.168652488</v>
      </c>
      <c r="G25" s="63" t="s">
        <v>277</v>
      </c>
    </row>
    <row r="26" spans="2:26" ht="15" customHeight="1" x14ac:dyDescent="0.2">
      <c r="B26" s="31" t="s">
        <v>278</v>
      </c>
      <c r="C26" s="67">
        <f>Z46</f>
        <v>136905.72388034084</v>
      </c>
      <c r="D26" s="68">
        <f>Z63</f>
        <v>1927370.1839385417</v>
      </c>
      <c r="E26" s="69">
        <f>Z80</f>
        <v>7202769.0005471157</v>
      </c>
      <c r="G26" s="63" t="s">
        <v>279</v>
      </c>
    </row>
    <row r="27" spans="2:26" ht="15" customHeight="1" x14ac:dyDescent="0.2">
      <c r="B27" s="15" t="s">
        <v>280</v>
      </c>
      <c r="C27" s="64">
        <f>IF(Z43=0,0,Z45/Z43)</f>
        <v>0.22127310418487778</v>
      </c>
      <c r="D27" s="65">
        <f>IF(Z60=0,0,Z62/Z60)</f>
        <v>0.50353152186575389</v>
      </c>
      <c r="E27" s="66">
        <f>IF(Z77=0,0,Z79/Z77)</f>
        <v>0.59918528606884169</v>
      </c>
      <c r="G27" s="63" t="s">
        <v>281</v>
      </c>
    </row>
    <row r="28" spans="2:26" ht="15" customHeight="1" x14ac:dyDescent="0.2">
      <c r="B28" s="31" t="s">
        <v>282</v>
      </c>
      <c r="C28" s="70" t="str">
        <f>IFERROR(MATCH(TRUE(),C46:Z46&gt;0,0),"н/д")</f>
        <v>н/д</v>
      </c>
      <c r="D28" s="71" t="str">
        <f>IFERROR(MATCH(TRUE(),C63:Z63&gt;0,0),"н/д")</f>
        <v>н/д</v>
      </c>
      <c r="E28" s="72" t="str">
        <f>IFERROR(MATCH(TRUE(),C80:Z80&gt;0,0),"н/д")</f>
        <v>н/д</v>
      </c>
      <c r="G28" s="63" t="s">
        <v>283</v>
      </c>
    </row>
    <row r="29" spans="2:26" ht="15" customHeight="1" x14ac:dyDescent="0.2">
      <c r="B29" s="15" t="s">
        <v>284</v>
      </c>
      <c r="C29" s="67">
        <f>MIN(C46:Z46)</f>
        <v>-16561.40313038828</v>
      </c>
      <c r="D29" s="68">
        <f>MIN(C63:Z63)</f>
        <v>-462.05600000000004</v>
      </c>
      <c r="E29" s="69">
        <f>MIN(C80:Z80)</f>
        <v>768.52560000000017</v>
      </c>
      <c r="G29" s="63" t="s">
        <v>285</v>
      </c>
    </row>
    <row r="32" spans="2:26" ht="15" customHeight="1" x14ac:dyDescent="0.2">
      <c r="B32" s="73" t="s">
        <v>286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2:26" ht="15" customHeight="1" x14ac:dyDescent="0.2">
      <c r="B33" s="75" t="s">
        <v>287</v>
      </c>
      <c r="C33" s="76" t="s">
        <v>183</v>
      </c>
      <c r="D33" s="76" t="s">
        <v>184</v>
      </c>
      <c r="E33" s="76" t="s">
        <v>185</v>
      </c>
      <c r="F33" s="76" t="s">
        <v>186</v>
      </c>
      <c r="G33" s="76" t="s">
        <v>187</v>
      </c>
      <c r="H33" s="76" t="s">
        <v>188</v>
      </c>
      <c r="I33" s="76" t="s">
        <v>189</v>
      </c>
      <c r="J33" s="76" t="s">
        <v>190</v>
      </c>
      <c r="K33" s="76" t="s">
        <v>191</v>
      </c>
      <c r="L33" s="76" t="s">
        <v>192</v>
      </c>
      <c r="M33" s="76" t="s">
        <v>193</v>
      </c>
      <c r="N33" s="76" t="s">
        <v>194</v>
      </c>
      <c r="O33" s="76" t="s">
        <v>195</v>
      </c>
      <c r="P33" s="76" t="s">
        <v>196</v>
      </c>
      <c r="Q33" s="76" t="s">
        <v>197</v>
      </c>
      <c r="R33" s="76" t="s">
        <v>198</v>
      </c>
      <c r="S33" s="76" t="s">
        <v>199</v>
      </c>
      <c r="T33" s="76" t="s">
        <v>200</v>
      </c>
      <c r="U33" s="76" t="s">
        <v>201</v>
      </c>
      <c r="V33" s="76" t="s">
        <v>202</v>
      </c>
      <c r="W33" s="76" t="s">
        <v>203</v>
      </c>
      <c r="X33" s="76" t="s">
        <v>204</v>
      </c>
      <c r="Y33" s="76" t="s">
        <v>205</v>
      </c>
      <c r="Z33" s="76" t="s">
        <v>206</v>
      </c>
    </row>
    <row r="34" spans="2:26" ht="15" customHeight="1" x14ac:dyDescent="0.2">
      <c r="B34" s="77" t="s">
        <v>288</v>
      </c>
      <c r="C34" s="78">
        <f>Допущения!$C$52</f>
        <v>1000</v>
      </c>
      <c r="D34" s="78">
        <f>C34*(1+IF(2&lt;=6,$C$11,IF(2&lt;=12,$C$12,$C$13)))</f>
        <v>1200</v>
      </c>
      <c r="E34" s="78">
        <f>D34*(1+IF(3&lt;=6,$C$11,IF(3&lt;=12,$C$12,$C$13)))</f>
        <v>1440</v>
      </c>
      <c r="F34" s="78">
        <f>E34*(1+IF(4&lt;=6,$C$11,IF(4&lt;=12,$C$12,$C$13)))</f>
        <v>1728</v>
      </c>
      <c r="G34" s="78">
        <f>F34*(1+IF(5&lt;=6,$C$11,IF(5&lt;=12,$C$12,$C$13)))</f>
        <v>2073.6</v>
      </c>
      <c r="H34" s="78">
        <f>G34*(1+IF(6&lt;=6,$C$11,IF(6&lt;=12,$C$12,$C$13)))</f>
        <v>2488.3199999999997</v>
      </c>
      <c r="I34" s="78">
        <f>H34*(1+IF(7&lt;=6,$C$11,IF(7&lt;=12,$C$12,$C$13)))</f>
        <v>2786.9184</v>
      </c>
      <c r="J34" s="78">
        <f>I34*(1+IF(8&lt;=6,$C$11,IF(8&lt;=12,$C$12,$C$13)))</f>
        <v>3121.3486080000002</v>
      </c>
      <c r="K34" s="78">
        <f>J34*(1+IF(9&lt;=6,$C$11,IF(9&lt;=12,$C$12,$C$13)))</f>
        <v>3495.9104409600004</v>
      </c>
      <c r="L34" s="78">
        <f>K34*(1+IF(10&lt;=6,$C$11,IF(10&lt;=12,$C$12,$C$13)))</f>
        <v>3915.4196938752007</v>
      </c>
      <c r="M34" s="78">
        <f>L34*(1+IF(11&lt;=6,$C$11,IF(11&lt;=12,$C$12,$C$13)))</f>
        <v>4385.2700571402247</v>
      </c>
      <c r="N34" s="78">
        <f>M34*(1+IF(12&lt;=6,$C$11,IF(12&lt;=12,$C$12,$C$13)))</f>
        <v>4911.5024639970525</v>
      </c>
      <c r="O34" s="78">
        <f>N34*(1+IF(13&lt;=6,$C$11,IF(13&lt;=12,$C$12,$C$13)))</f>
        <v>5304.4226611168169</v>
      </c>
      <c r="P34" s="78">
        <f>O34*(1+IF(14&lt;=6,$C$11,IF(14&lt;=12,$C$12,$C$13)))</f>
        <v>5728.776474006163</v>
      </c>
      <c r="Q34" s="78">
        <f>P34*(1+IF(15&lt;=6,$C$11,IF(15&lt;=12,$C$12,$C$13)))</f>
        <v>6187.0785919266564</v>
      </c>
      <c r="R34" s="78">
        <f>Q34*(1+IF(16&lt;=6,$C$11,IF(16&lt;=12,$C$12,$C$13)))</f>
        <v>6682.0448792807892</v>
      </c>
      <c r="S34" s="78">
        <f>R34*(1+IF(17&lt;=6,$C$11,IF(17&lt;=12,$C$12,$C$13)))</f>
        <v>7216.6084696232529</v>
      </c>
      <c r="T34" s="78">
        <f>S34*(1+IF(18&lt;=6,$C$11,IF(18&lt;=12,$C$12,$C$13)))</f>
        <v>7793.9371471931136</v>
      </c>
      <c r="U34" s="78">
        <f>T34*(1+IF(19&lt;=6,$C$11,IF(19&lt;=12,$C$12,$C$13)))</f>
        <v>8417.4521189685638</v>
      </c>
      <c r="V34" s="78">
        <f>U34*(1+IF(20&lt;=6,$C$11,IF(20&lt;=12,$C$12,$C$13)))</f>
        <v>9090.8482884860496</v>
      </c>
      <c r="W34" s="78">
        <f>V34*(1+IF(21&lt;=6,$C$11,IF(21&lt;=12,$C$12,$C$13)))</f>
        <v>9818.1161515649346</v>
      </c>
      <c r="X34" s="78">
        <f>W34*(1+IF(22&lt;=6,$C$11,IF(22&lt;=12,$C$12,$C$13)))</f>
        <v>10603.56544369013</v>
      </c>
      <c r="Y34" s="78">
        <f>X34*(1+IF(23&lt;=6,$C$11,IF(23&lt;=12,$C$12,$C$13)))</f>
        <v>11451.850679185342</v>
      </c>
      <c r="Z34" s="78">
        <f>Y34*(1+IF(24&lt;=6,$C$11,IF(24&lt;=12,$C$12,$C$13)))</f>
        <v>12367.998733520169</v>
      </c>
    </row>
    <row r="35" spans="2:26" ht="15" customHeight="1" x14ac:dyDescent="0.2">
      <c r="B35" s="79" t="s">
        <v>289</v>
      </c>
      <c r="C35" s="80">
        <f>C34</f>
        <v>1000</v>
      </c>
      <c r="D35" s="80">
        <f>C35*(1-Допущения!$C$34-$C$7)+D34</f>
        <v>2040</v>
      </c>
      <c r="E35" s="80">
        <f>D35*(1-Допущения!$C$34-$C$7)+E34</f>
        <v>3153.6</v>
      </c>
      <c r="F35" s="80">
        <f>E35*(1-Допущения!$C$34-$C$7)+F34</f>
        <v>4377.0239999999994</v>
      </c>
      <c r="G35" s="80">
        <f>F35*(1-Допущения!$C$34-$C$7)+G34</f>
        <v>5750.3001599999989</v>
      </c>
      <c r="H35" s="80">
        <f>G35*(1-Допущения!$C$34-$C$7)+H34</f>
        <v>7318.5721343999985</v>
      </c>
      <c r="I35" s="80">
        <f>H35*(1-Допущения!$C$34-$C$7)+I34</f>
        <v>8934.518992895999</v>
      </c>
      <c r="J35" s="80">
        <f>I35*(1-Допущения!$C$34-$C$7)+J34</f>
        <v>10626.344562032638</v>
      </c>
      <c r="K35" s="80">
        <f>J35*(1-Допущения!$C$34-$C$7)+K34</f>
        <v>12422.039873067417</v>
      </c>
      <c r="L35" s="80">
        <f>K35*(1-Допущения!$C$34-$C$7)+L34</f>
        <v>14349.933187251831</v>
      </c>
      <c r="M35" s="80">
        <f>L35*(1-Допущения!$C$34-$C$7)+M34</f>
        <v>16439.213934431762</v>
      </c>
      <c r="N35" s="80">
        <f>M35*(1-Допущения!$C$34-$C$7)+N34</f>
        <v>18720.442168919733</v>
      </c>
      <c r="O35" s="80">
        <f>N35*(1-Допущения!$C$34-$C$7)+O34</f>
        <v>21029.594083009393</v>
      </c>
      <c r="P35" s="80">
        <f>O35*(1-Допущения!$C$34-$C$7)+P34</f>
        <v>23393.635503734055</v>
      </c>
      <c r="Q35" s="80">
        <f>P35*(1-Допущения!$C$34-$C$7)+Q34</f>
        <v>25837.732415063263</v>
      </c>
      <c r="R35" s="80">
        <f>Q35*(1-Допущения!$C$34-$C$7)+R34</f>
        <v>28385.740107933932</v>
      </c>
      <c r="S35" s="80">
        <f>R35*(1-Допущения!$C$34-$C$7)+S34</f>
        <v>31060.630160287757</v>
      </c>
      <c r="T35" s="80">
        <f>S35*(1-Допущения!$C$34-$C$7)+T34</f>
        <v>33884.866481834826</v>
      </c>
      <c r="U35" s="80">
        <f>T35*(1-Допущения!$C$34-$C$7)+U34</f>
        <v>36880.739963709813</v>
      </c>
      <c r="V35" s="80">
        <f>U35*(1-Допущения!$C$34-$C$7)+V34</f>
        <v>40070.669858002293</v>
      </c>
      <c r="W35" s="80">
        <f>V35*(1-Допущения!$C$34-$C$7)+W34</f>
        <v>43477.478832286863</v>
      </c>
      <c r="X35" s="80">
        <f>W35*(1-Допущения!$C$34-$C$7)+X34</f>
        <v>47124.647662811098</v>
      </c>
      <c r="Y35" s="80">
        <f>X35*(1-Допущения!$C$34-$C$7)+Y34</f>
        <v>51036.554715946666</v>
      </c>
      <c r="Z35" s="80">
        <f>Y35*(1-Допущения!$C$34-$C$7)+Z34</f>
        <v>55238.704694915374</v>
      </c>
    </row>
    <row r="36" spans="2:26" ht="15" customHeight="1" x14ac:dyDescent="0.2">
      <c r="B36" s="77" t="s">
        <v>290</v>
      </c>
      <c r="C36" s="78">
        <f>C35*$C$7</f>
        <v>10</v>
      </c>
      <c r="D36" s="78">
        <f t="shared" ref="D36:Z36" si="0">C35*$C$7</f>
        <v>10</v>
      </c>
      <c r="E36" s="78">
        <f t="shared" si="0"/>
        <v>20.400000000000002</v>
      </c>
      <c r="F36" s="78">
        <f t="shared" si="0"/>
        <v>31.536000000000001</v>
      </c>
      <c r="G36" s="78">
        <f t="shared" si="0"/>
        <v>43.770239999999994</v>
      </c>
      <c r="H36" s="78">
        <f t="shared" si="0"/>
        <v>57.50300159999999</v>
      </c>
      <c r="I36" s="78">
        <f t="shared" si="0"/>
        <v>73.185721343999987</v>
      </c>
      <c r="J36" s="78">
        <f t="shared" si="0"/>
        <v>89.345189928959996</v>
      </c>
      <c r="K36" s="78">
        <f t="shared" si="0"/>
        <v>106.26344562032638</v>
      </c>
      <c r="L36" s="78">
        <f t="shared" si="0"/>
        <v>124.22039873067418</v>
      </c>
      <c r="M36" s="78">
        <f t="shared" si="0"/>
        <v>143.4993318725183</v>
      </c>
      <c r="N36" s="78">
        <f t="shared" si="0"/>
        <v>164.39213934431763</v>
      </c>
      <c r="O36" s="78">
        <f t="shared" si="0"/>
        <v>187.20442168919735</v>
      </c>
      <c r="P36" s="78">
        <f t="shared" si="0"/>
        <v>210.29594083009394</v>
      </c>
      <c r="Q36" s="78">
        <f t="shared" si="0"/>
        <v>233.93635503734055</v>
      </c>
      <c r="R36" s="78">
        <f t="shared" si="0"/>
        <v>258.37732415063266</v>
      </c>
      <c r="S36" s="78">
        <f t="shared" si="0"/>
        <v>283.85740107933935</v>
      </c>
      <c r="T36" s="78">
        <f t="shared" si="0"/>
        <v>310.60630160287758</v>
      </c>
      <c r="U36" s="78">
        <f t="shared" si="0"/>
        <v>338.84866481834825</v>
      </c>
      <c r="V36" s="78">
        <f t="shared" si="0"/>
        <v>368.80739963709811</v>
      </c>
      <c r="W36" s="78">
        <f t="shared" si="0"/>
        <v>400.70669858002293</v>
      </c>
      <c r="X36" s="78">
        <f t="shared" si="0"/>
        <v>434.77478832286863</v>
      </c>
      <c r="Y36" s="78">
        <f t="shared" si="0"/>
        <v>471.246476628111</v>
      </c>
      <c r="Z36" s="78">
        <f t="shared" si="0"/>
        <v>510.36554715946664</v>
      </c>
    </row>
    <row r="37" spans="2:26" ht="15" customHeight="1" x14ac:dyDescent="0.2">
      <c r="B37" s="77" t="s">
        <v>291</v>
      </c>
      <c r="C37" s="78">
        <f>C36*Допущения!$C$31</f>
        <v>9</v>
      </c>
      <c r="D37" s="78">
        <f>D36*Допущения!$C$31</f>
        <v>9</v>
      </c>
      <c r="E37" s="78">
        <f>E36*Допущения!$C$31</f>
        <v>18.360000000000003</v>
      </c>
      <c r="F37" s="78">
        <f>F36*Допущения!$C$31</f>
        <v>28.382400000000001</v>
      </c>
      <c r="G37" s="78">
        <f>G36*Допущения!$C$31</f>
        <v>39.393215999999995</v>
      </c>
      <c r="H37" s="78">
        <f>H36*Допущения!$C$31</f>
        <v>51.752701439999996</v>
      </c>
      <c r="I37" s="78">
        <f>I36*Допущения!$C$31</f>
        <v>65.867149209599987</v>
      </c>
      <c r="J37" s="78">
        <f>J36*Допущения!$C$31</f>
        <v>80.410670936063994</v>
      </c>
      <c r="K37" s="78">
        <f>K36*Допущения!$C$31</f>
        <v>95.637101058293737</v>
      </c>
      <c r="L37" s="78">
        <f>L36*Допущения!$C$31</f>
        <v>111.79835885760676</v>
      </c>
      <c r="M37" s="78">
        <f>M36*Допущения!$C$31</f>
        <v>129.14939868526648</v>
      </c>
      <c r="N37" s="78">
        <f>N36*Допущения!$C$31</f>
        <v>147.95292540988586</v>
      </c>
      <c r="O37" s="78">
        <f>O36*Допущения!$C$31</f>
        <v>168.48397952027761</v>
      </c>
      <c r="P37" s="78">
        <f>P36*Допущения!$C$31</f>
        <v>189.26634674708455</v>
      </c>
      <c r="Q37" s="78">
        <f>Q36*Допущения!$C$31</f>
        <v>210.54271953360649</v>
      </c>
      <c r="R37" s="78">
        <f>R36*Допущения!$C$31</f>
        <v>232.53959173556939</v>
      </c>
      <c r="S37" s="78">
        <f>S36*Допущения!$C$31</f>
        <v>255.47166097140541</v>
      </c>
      <c r="T37" s="78">
        <f>T36*Допущения!$C$31</f>
        <v>279.54567144258982</v>
      </c>
      <c r="U37" s="78">
        <f>U36*Допущения!$C$31</f>
        <v>304.96379833651343</v>
      </c>
      <c r="V37" s="78">
        <f>V36*Допущения!$C$31</f>
        <v>331.92665967338831</v>
      </c>
      <c r="W37" s="78">
        <f>W36*Допущения!$C$31</f>
        <v>360.63602872202063</v>
      </c>
      <c r="X37" s="78">
        <f>X36*Допущения!$C$31</f>
        <v>391.29730949058177</v>
      </c>
      <c r="Y37" s="78">
        <f>Y36*Допущения!$C$31</f>
        <v>424.12182896529993</v>
      </c>
      <c r="Z37" s="78">
        <f>Z36*Допущения!$C$31</f>
        <v>459.32899244352001</v>
      </c>
    </row>
    <row r="38" spans="2:26" ht="15" customHeight="1" x14ac:dyDescent="0.2">
      <c r="B38" s="77" t="s">
        <v>292</v>
      </c>
      <c r="C38" s="78">
        <f>C36*Допущения!$C$32</f>
        <v>1</v>
      </c>
      <c r="D38" s="78">
        <f>D36*Допущения!$C$32</f>
        <v>1</v>
      </c>
      <c r="E38" s="78">
        <f>E36*Допущения!$C$32</f>
        <v>2.0400000000000005</v>
      </c>
      <c r="F38" s="78">
        <f>F36*Допущения!$C$32</f>
        <v>3.1536000000000004</v>
      </c>
      <c r="G38" s="78">
        <f>G36*Допущения!$C$32</f>
        <v>4.3770239999999996</v>
      </c>
      <c r="H38" s="78">
        <f>H36*Допущения!$C$32</f>
        <v>5.7503001599999992</v>
      </c>
      <c r="I38" s="78">
        <f>I36*Допущения!$C$32</f>
        <v>7.3185721343999992</v>
      </c>
      <c r="J38" s="78">
        <f>J36*Допущения!$C$32</f>
        <v>8.9345189928960007</v>
      </c>
      <c r="K38" s="78">
        <f>K36*Допущения!$C$32</f>
        <v>10.626344562032639</v>
      </c>
      <c r="L38" s="78">
        <f>L36*Допущения!$C$32</f>
        <v>12.422039873067419</v>
      </c>
      <c r="M38" s="78">
        <f>M36*Допущения!$C$32</f>
        <v>14.34993318725183</v>
      </c>
      <c r="N38" s="78">
        <f>N36*Допущения!$C$32</f>
        <v>16.439213934431763</v>
      </c>
      <c r="O38" s="78">
        <f>O36*Допущения!$C$32</f>
        <v>18.720442168919735</v>
      </c>
      <c r="P38" s="78">
        <f>P36*Допущения!$C$32</f>
        <v>21.029594083009396</v>
      </c>
      <c r="Q38" s="78">
        <f>Q36*Допущения!$C$32</f>
        <v>23.393635503734057</v>
      </c>
      <c r="R38" s="78">
        <f>R36*Допущения!$C$32</f>
        <v>25.837732415063268</v>
      </c>
      <c r="S38" s="78">
        <f>S36*Допущения!$C$32</f>
        <v>28.385740107933938</v>
      </c>
      <c r="T38" s="78">
        <f>T36*Допущения!$C$32</f>
        <v>31.060630160287758</v>
      </c>
      <c r="U38" s="78">
        <f>U36*Допущения!$C$32</f>
        <v>33.884866481834827</v>
      </c>
      <c r="V38" s="78">
        <f>V36*Допущения!$C$32</f>
        <v>36.880739963709814</v>
      </c>
      <c r="W38" s="78">
        <f>W36*Допущения!$C$32</f>
        <v>40.070669858002297</v>
      </c>
      <c r="X38" s="78">
        <f>X36*Допущения!$C$32</f>
        <v>43.477478832286863</v>
      </c>
      <c r="Y38" s="78">
        <f>Y36*Допущения!$C$32</f>
        <v>47.1246476628111</v>
      </c>
      <c r="Z38" s="78">
        <f>Z36*Допущения!$C$32</f>
        <v>51.036554715946664</v>
      </c>
    </row>
    <row r="39" spans="2:26" ht="15" customHeight="1" x14ac:dyDescent="0.2">
      <c r="B39" s="79" t="s">
        <v>293</v>
      </c>
      <c r="C39" s="80">
        <f>C37</f>
        <v>9</v>
      </c>
      <c r="D39" s="80">
        <f t="shared" ref="D39:Z39" si="1">C39*(1-$C$8)+D37</f>
        <v>16.920000000000002</v>
      </c>
      <c r="E39" s="80">
        <f t="shared" si="1"/>
        <v>33.249600000000001</v>
      </c>
      <c r="F39" s="80">
        <f t="shared" si="1"/>
        <v>57.642048000000003</v>
      </c>
      <c r="G39" s="80">
        <f t="shared" si="1"/>
        <v>90.118218240000004</v>
      </c>
      <c r="H39" s="80">
        <f t="shared" si="1"/>
        <v>131.05673349120002</v>
      </c>
      <c r="I39" s="80">
        <f t="shared" si="1"/>
        <v>181.19707468185601</v>
      </c>
      <c r="J39" s="80">
        <f t="shared" si="1"/>
        <v>239.86409665609727</v>
      </c>
      <c r="K39" s="80">
        <f t="shared" si="1"/>
        <v>306.71750611565932</v>
      </c>
      <c r="L39" s="80">
        <f t="shared" si="1"/>
        <v>381.70976423938691</v>
      </c>
      <c r="M39" s="80">
        <f t="shared" si="1"/>
        <v>465.05399121592694</v>
      </c>
      <c r="N39" s="80">
        <f t="shared" si="1"/>
        <v>557.2004376799016</v>
      </c>
      <c r="O39" s="80">
        <f t="shared" si="1"/>
        <v>658.82036467859098</v>
      </c>
      <c r="P39" s="80">
        <f t="shared" si="1"/>
        <v>769.02826766424459</v>
      </c>
      <c r="Q39" s="80">
        <f t="shared" si="1"/>
        <v>887.28759507814175</v>
      </c>
      <c r="R39" s="80">
        <f t="shared" si="1"/>
        <v>1013.3526754043341</v>
      </c>
      <c r="S39" s="80">
        <f t="shared" si="1"/>
        <v>1147.2220153272194</v>
      </c>
      <c r="T39" s="80">
        <f t="shared" si="1"/>
        <v>1289.1010449305429</v>
      </c>
      <c r="U39" s="80">
        <f t="shared" si="1"/>
        <v>1439.3727178753913</v>
      </c>
      <c r="V39" s="80">
        <f t="shared" si="1"/>
        <v>1598.5746514037326</v>
      </c>
      <c r="W39" s="80">
        <f t="shared" si="1"/>
        <v>1767.3817219573054</v>
      </c>
      <c r="X39" s="80">
        <f t="shared" si="1"/>
        <v>1946.5932248130105</v>
      </c>
      <c r="Y39" s="80">
        <f t="shared" si="1"/>
        <v>2137.1238668007491</v>
      </c>
      <c r="Z39" s="80">
        <f t="shared" si="1"/>
        <v>2339.9979952281792</v>
      </c>
    </row>
    <row r="40" spans="2:26" ht="15" customHeight="1" x14ac:dyDescent="0.2">
      <c r="B40" s="79" t="s">
        <v>294</v>
      </c>
      <c r="C40" s="80">
        <f>C38</f>
        <v>1</v>
      </c>
      <c r="D40" s="80">
        <f t="shared" ref="D40:Z40" si="2">C40*(1-$C$9)+D38</f>
        <v>1.92</v>
      </c>
      <c r="E40" s="80">
        <f t="shared" si="2"/>
        <v>3.8064000000000004</v>
      </c>
      <c r="F40" s="80">
        <f t="shared" si="2"/>
        <v>6.655488000000001</v>
      </c>
      <c r="G40" s="80">
        <f t="shared" si="2"/>
        <v>10.500072960000001</v>
      </c>
      <c r="H40" s="80">
        <f t="shared" si="2"/>
        <v>15.410367283199999</v>
      </c>
      <c r="I40" s="80">
        <f t="shared" si="2"/>
        <v>21.496110034944</v>
      </c>
      <c r="J40" s="80">
        <f t="shared" si="2"/>
        <v>28.710940225044482</v>
      </c>
      <c r="K40" s="80">
        <f t="shared" si="2"/>
        <v>37.04040956907356</v>
      </c>
      <c r="L40" s="80">
        <f t="shared" si="2"/>
        <v>46.499216676615099</v>
      </c>
      <c r="M40" s="80">
        <f t="shared" si="2"/>
        <v>57.129212529737721</v>
      </c>
      <c r="N40" s="80">
        <f t="shared" si="2"/>
        <v>68.998089461790471</v>
      </c>
      <c r="O40" s="80">
        <f t="shared" si="2"/>
        <v>82.198684473766974</v>
      </c>
      <c r="P40" s="80">
        <f t="shared" si="2"/>
        <v>96.652383798875022</v>
      </c>
      <c r="Q40" s="80">
        <f t="shared" si="2"/>
        <v>112.31382859869909</v>
      </c>
      <c r="R40" s="80">
        <f t="shared" si="2"/>
        <v>129.16645472586643</v>
      </c>
      <c r="S40" s="80">
        <f t="shared" si="2"/>
        <v>147.21887845573104</v>
      </c>
      <c r="T40" s="80">
        <f t="shared" si="2"/>
        <v>166.50199833956032</v>
      </c>
      <c r="U40" s="80">
        <f t="shared" si="2"/>
        <v>187.06670495423032</v>
      </c>
      <c r="V40" s="80">
        <f t="shared" si="2"/>
        <v>208.98210852160173</v>
      </c>
      <c r="W40" s="80">
        <f t="shared" si="2"/>
        <v>232.33420969787591</v>
      </c>
      <c r="X40" s="80">
        <f t="shared" si="2"/>
        <v>257.22495175433266</v>
      </c>
      <c r="Y40" s="80">
        <f t="shared" si="2"/>
        <v>283.77160327679712</v>
      </c>
      <c r="Z40" s="80">
        <f t="shared" si="2"/>
        <v>312.10642973059998</v>
      </c>
    </row>
    <row r="41" spans="2:26" ht="15" customHeight="1" x14ac:dyDescent="0.2">
      <c r="B41" s="81" t="s">
        <v>216</v>
      </c>
      <c r="C41" s="82">
        <f t="shared" ref="C41:Z41" si="3">C35+C39+C40</f>
        <v>1010</v>
      </c>
      <c r="D41" s="82">
        <f t="shared" si="3"/>
        <v>2058.84</v>
      </c>
      <c r="E41" s="82">
        <f t="shared" si="3"/>
        <v>3190.6559999999999</v>
      </c>
      <c r="F41" s="82">
        <f t="shared" si="3"/>
        <v>4441.3215359999995</v>
      </c>
      <c r="G41" s="82">
        <f t="shared" si="3"/>
        <v>5850.9184511999983</v>
      </c>
      <c r="H41" s="82">
        <f t="shared" si="3"/>
        <v>7465.0392351743985</v>
      </c>
      <c r="I41" s="82">
        <f t="shared" si="3"/>
        <v>9137.2121776127988</v>
      </c>
      <c r="J41" s="82">
        <f t="shared" si="3"/>
        <v>10894.919598913781</v>
      </c>
      <c r="K41" s="82">
        <f t="shared" si="3"/>
        <v>12765.79778875215</v>
      </c>
      <c r="L41" s="82">
        <f t="shared" si="3"/>
        <v>14778.142168167833</v>
      </c>
      <c r="M41" s="82">
        <f t="shared" si="3"/>
        <v>16961.397138177424</v>
      </c>
      <c r="N41" s="82">
        <f t="shared" si="3"/>
        <v>19346.640696061426</v>
      </c>
      <c r="O41" s="82">
        <f t="shared" si="3"/>
        <v>21770.61313216175</v>
      </c>
      <c r="P41" s="82">
        <f t="shared" si="3"/>
        <v>24259.316155197175</v>
      </c>
      <c r="Q41" s="82">
        <f t="shared" si="3"/>
        <v>26837.333838740105</v>
      </c>
      <c r="R41" s="82">
        <f t="shared" si="3"/>
        <v>29528.259238064133</v>
      </c>
      <c r="S41" s="82">
        <f t="shared" si="3"/>
        <v>32355.071054070708</v>
      </c>
      <c r="T41" s="82">
        <f t="shared" si="3"/>
        <v>35340.469525104927</v>
      </c>
      <c r="U41" s="82">
        <f t="shared" si="3"/>
        <v>38507.179386539436</v>
      </c>
      <c r="V41" s="82">
        <f t="shared" si="3"/>
        <v>41878.226617927627</v>
      </c>
      <c r="W41" s="82">
        <f t="shared" si="3"/>
        <v>45477.19476394204</v>
      </c>
      <c r="X41" s="82">
        <f t="shared" si="3"/>
        <v>49328.465839378441</v>
      </c>
      <c r="Y41" s="82">
        <f t="shared" si="3"/>
        <v>53457.450186024216</v>
      </c>
      <c r="Z41" s="82">
        <f t="shared" si="3"/>
        <v>57890.809119874153</v>
      </c>
    </row>
    <row r="42" spans="2:26" ht="15" customHeight="1" x14ac:dyDescent="0.2">
      <c r="B42" s="81" t="s">
        <v>295</v>
      </c>
      <c r="C42" s="82">
        <f t="shared" ref="C42:Z42" si="4">C39+C40</f>
        <v>10</v>
      </c>
      <c r="D42" s="82">
        <f t="shared" si="4"/>
        <v>18.840000000000003</v>
      </c>
      <c r="E42" s="82">
        <f t="shared" si="4"/>
        <v>37.056000000000004</v>
      </c>
      <c r="F42" s="82">
        <f t="shared" si="4"/>
        <v>64.297536000000008</v>
      </c>
      <c r="G42" s="82">
        <f t="shared" si="4"/>
        <v>100.6182912</v>
      </c>
      <c r="H42" s="82">
        <f t="shared" si="4"/>
        <v>146.46710077440002</v>
      </c>
      <c r="I42" s="82">
        <f t="shared" si="4"/>
        <v>202.6931847168</v>
      </c>
      <c r="J42" s="82">
        <f t="shared" si="4"/>
        <v>268.57503688114173</v>
      </c>
      <c r="K42" s="82">
        <f t="shared" si="4"/>
        <v>343.75791568473289</v>
      </c>
      <c r="L42" s="82">
        <f t="shared" si="4"/>
        <v>428.20898091600202</v>
      </c>
      <c r="M42" s="82">
        <f t="shared" si="4"/>
        <v>522.18320374566463</v>
      </c>
      <c r="N42" s="82">
        <f t="shared" si="4"/>
        <v>626.19852714169201</v>
      </c>
      <c r="O42" s="82">
        <f t="shared" si="4"/>
        <v>741.01904915235798</v>
      </c>
      <c r="P42" s="82">
        <f t="shared" si="4"/>
        <v>865.6806514631196</v>
      </c>
      <c r="Q42" s="82">
        <f t="shared" si="4"/>
        <v>999.6014236768408</v>
      </c>
      <c r="R42" s="82">
        <f t="shared" si="4"/>
        <v>1142.5191301302007</v>
      </c>
      <c r="S42" s="82">
        <f t="shared" si="4"/>
        <v>1294.4408937829505</v>
      </c>
      <c r="T42" s="82">
        <f t="shared" si="4"/>
        <v>1455.6030432701032</v>
      </c>
      <c r="U42" s="82">
        <f t="shared" si="4"/>
        <v>1626.4394228296217</v>
      </c>
      <c r="V42" s="82">
        <f t="shared" si="4"/>
        <v>1807.5567599253343</v>
      </c>
      <c r="W42" s="82">
        <f t="shared" si="4"/>
        <v>1999.7159316551813</v>
      </c>
      <c r="X42" s="82">
        <f t="shared" si="4"/>
        <v>2203.818176567343</v>
      </c>
      <c r="Y42" s="82">
        <f t="shared" si="4"/>
        <v>2420.8954700775462</v>
      </c>
      <c r="Z42" s="82">
        <f t="shared" si="4"/>
        <v>2652.1044249587794</v>
      </c>
    </row>
    <row r="43" spans="2:26" ht="15" customHeight="1" x14ac:dyDescent="0.2">
      <c r="B43" s="79" t="s">
        <v>296</v>
      </c>
      <c r="C43" s="83">
        <f>C39*Допущения!$C$27+C40*Допущения!$C$28+C35*$C$16+C41*Допущения!$C$46</f>
        <v>782</v>
      </c>
      <c r="D43" s="83">
        <f>D39*Допущения!$C$27+D40*Допущения!$C$28+D35*$C$16+D41*Допущения!$C$46</f>
        <v>1554.1680000000001</v>
      </c>
      <c r="E43" s="83">
        <f>E39*Допущения!$C$27+E40*Допущения!$C$28+E35*$C$16+E41*Допущения!$C$46</f>
        <v>2629.8432000000003</v>
      </c>
      <c r="F43" s="83">
        <f>F39*Допущения!$C$27+F40*Допущения!$C$28+F35*$C$16+F41*Допущения!$C$46</f>
        <v>4019.7612671999996</v>
      </c>
      <c r="G43" s="83">
        <f>G39*Допущения!$C$27+G40*Допущения!$C$28+G35*$C$16+G41*Допущения!$C$46</f>
        <v>5747.6453990399996</v>
      </c>
      <c r="H43" s="83">
        <f>H39*Допущения!$C$27+H40*Допущения!$C$28+H35*$C$16+H41*Допущения!$C$46</f>
        <v>7850.7508854988801</v>
      </c>
      <c r="I43" s="83">
        <f>I39*Допущения!$C$27+I40*Допущения!$C$28+I35*$C$16+I41*Допущения!$C$46</f>
        <v>10281.35063052288</v>
      </c>
      <c r="J43" s="83">
        <f>J39*Допущения!$C$27+J40*Допущения!$C$28+J35*$C$16+J41*Допущения!$C$46</f>
        <v>13035.263244018943</v>
      </c>
      <c r="K43" s="83">
        <f>K39*Допущения!$C$27+K40*Допущения!$C$28+K35*$C$16+K41*Допущения!$C$46</f>
        <v>16118.162598891198</v>
      </c>
      <c r="L43" s="83">
        <f>L39*Допущения!$C$27+L40*Допущения!$C$28+L35*$C$16+L41*Допущения!$C$46</f>
        <v>19544.725342258364</v>
      </c>
      <c r="M43" s="83">
        <f>M39*Допущения!$C$27+M40*Допущения!$C$28+M35*$C$16+M41*Допущения!$C$46</f>
        <v>23338.044685257322</v>
      </c>
      <c r="N43" s="83">
        <f>N39*Допущения!$C$27+N40*Допущения!$C$28+N35*$C$16+N41*Допущения!$C$46</f>
        <v>27529.278489665285</v>
      </c>
      <c r="O43" s="83">
        <f>O39*Допущения!$C$27+O40*Допущения!$C$28+O35*$C$16+O41*Допущения!$C$46</f>
        <v>32059.276592283684</v>
      </c>
      <c r="P43" s="83">
        <f>P39*Допущения!$C$27+P40*Допущения!$C$28+P35*$C$16+P41*Допущения!$C$46</f>
        <v>36915.757615332041</v>
      </c>
      <c r="Q43" s="83">
        <f>Q39*Допущения!$C$27+Q40*Допущения!$C$28+Q35*$C$16+Q41*Допущения!$C$46</f>
        <v>42095.921253699751</v>
      </c>
      <c r="R43" s="83">
        <f>R39*Допущения!$C$27+R40*Допущения!$C$28+R35*$C$16+R41*Допущения!$C$46</f>
        <v>47605.072860666332</v>
      </c>
      <c r="S43" s="83">
        <f>S39*Допущения!$C$27+S40*Допущения!$C$28+S35*$C$16+S41*Допущения!$C$46</f>
        <v>53455.531411017968</v>
      </c>
      <c r="T43" s="83">
        <f>T39*Допущения!$C$27+T40*Допущения!$C$28+T35*$C$16+T41*Допущения!$C$46</f>
        <v>59665.774582138321</v>
      </c>
      <c r="U43" s="83">
        <f>U39*Допущения!$C$27+U40*Допущения!$C$28+U35*$C$16+U41*Допущения!$C$46</f>
        <v>66259.782719351686</v>
      </c>
      <c r="V43" s="83">
        <f>V39*Допущения!$C$27+V40*Допущения!$C$28+V35*$C$16+V41*Допущения!$C$46</f>
        <v>73266.550161221036</v>
      </c>
      <c r="W43" s="83">
        <f>W39*Допущения!$C$27+W40*Допущения!$C$28+W35*$C$16+W41*Допущения!$C$46</f>
        <v>80719.738011408161</v>
      </c>
      <c r="X43" s="83">
        <f>X39*Допущения!$C$27+X40*Допущения!$C$28+X35*$C$16+X41*Допущения!$C$46</f>
        <v>88657.447138412506</v>
      </c>
      <c r="Y43" s="83">
        <f>Y39*Допущения!$C$27+Y40*Допущения!$C$28+Y35*$C$16+Y41*Допущения!$C$46</f>
        <v>97122.094115683532</v>
      </c>
      <c r="Z43" s="83">
        <f>Z39*Допущения!$C$27+Z40*Допущения!$C$28+Z35*$C$16+Z41*Допущения!$C$46</f>
        <v>106160.37611007302</v>
      </c>
    </row>
    <row r="44" spans="2:26" ht="15" customHeight="1" x14ac:dyDescent="0.2">
      <c r="B44" s="79" t="s">
        <v>297</v>
      </c>
      <c r="C44" s="83">
        <f>C35*(Допущения!$C$6/1000000)*(Допущения!$C$10*Допущения!$C$15*(1-$C$15*Допущения!$C$13)+Допущения!$C$11*Допущения!$C$16)+C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C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C41*Допущения!$C$48+C42*Допущения!$C$49+(C39*Допущения!$C$27+C40*Допущения!$C$28)*Допущения!$C$50+C34*$C$17</f>
        <v>2882.9607999999998</v>
      </c>
      <c r="D44" s="83">
        <f>D35*(Допущения!$C$6/1000000)*(Допущения!$C$10*Допущения!$C$15*(1-$C$15*Допущения!$C$13)+Допущения!$C$11*Допущения!$C$16)+D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D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D41*Допущения!$C$48+D42*Допущения!$C$49+(D39*Допущения!$C$27+D40*Допущения!$C$28)*Допущения!$C$50+D34*$C$17</f>
        <v>3761.8431839999998</v>
      </c>
      <c r="E44" s="83">
        <f>E35*(Допущения!$C$6/1000000)*(Допущения!$C$10*Допущения!$C$15*(1-$C$15*Допущения!$C$13)+Допущения!$C$11*Допущения!$C$16)+E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E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E41*Допущения!$C$48+E42*Допущения!$C$49+(E39*Допущения!$C$27+E40*Допущения!$C$28)*Допущения!$C$50+E34*$C$17</f>
        <v>4887.0805555200004</v>
      </c>
      <c r="F44" s="83">
        <f>F35*(Допущения!$C$6/1000000)*(Допущения!$C$10*Допущения!$C$15*(1-$C$15*Допущения!$C$13)+Допущения!$C$11*Допущения!$C$16)+F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F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F41*Допущения!$C$48+F42*Допущения!$C$49+(F39*Допущения!$C$27+F40*Допущения!$C$28)*Допущения!$C$50+F34*$C$17</f>
        <v>6284.3843440895998</v>
      </c>
      <c r="G44" s="83">
        <f>G35*(Допущения!$C$6/1000000)*(Допущения!$C$10*Допущения!$C$15*(1-$C$15*Допущения!$C$13)+Допущения!$C$11*Допущения!$C$16)+G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G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G41*Допущения!$C$48+G42*Допущения!$C$49+(G39*Допущения!$C$27+G40*Допущения!$C$28)*Допущения!$C$50+G34*$C$17</f>
        <v>7989.689325785087</v>
      </c>
      <c r="H44" s="83">
        <f>H35*(Допущения!$C$6/1000000)*(Допущения!$C$10*Допущения!$C$15*(1-$C$15*Допущения!$C$13)+Допущения!$C$11*Допущения!$C$16)+H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H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H41*Допущения!$C$48+H42*Допущения!$C$49+(H39*Допущения!$C$27+H40*Допущения!$C$28)*Допущения!$C$50+H34*$C$17</f>
        <v>10050.240780143369</v>
      </c>
      <c r="I44" s="83">
        <f>I35*(Допущения!$C$6/1000000)*(Допущения!$C$10*Допущения!$C$15*(1-$C$15*Допущения!$C$13)+Допущения!$C$11*Допущения!$C$16)+I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I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I41*Допущения!$C$48+I42*Допущения!$C$49+(I39*Допущения!$C$27+I40*Допущения!$C$28)*Допущения!$C$50+I34*$C$17</f>
        <v>11979.084105238786</v>
      </c>
      <c r="J44" s="83">
        <f>J35*(Допущения!$C$6/1000000)*(Допущения!$C$10*Допущения!$C$15*(1-$C$15*Допущения!$C$13)+Допущения!$C$11*Допущения!$C$16)+J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J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J41*Допущения!$C$48+J42*Допущения!$C$49+(J39*Допущения!$C$27+J40*Допущения!$C$28)*Допущения!$C$50+J34*$C$17</f>
        <v>14154.549666994659</v>
      </c>
      <c r="K44" s="83">
        <f>K35*(Допущения!$C$6/1000000)*(Допущения!$C$10*Допущения!$C$15*(1-$C$15*Допущения!$C$13)+Допущения!$C$11*Допущения!$C$16)+K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K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K41*Допущения!$C$48+K42*Допущения!$C$49+(K39*Допущения!$C$27+K40*Допущения!$C$28)*Допущения!$C$50+K34*$C$17</f>
        <v>16590.515593788681</v>
      </c>
      <c r="L44" s="83">
        <f>L35*(Допущения!$C$6/1000000)*(Допущения!$C$10*Допущения!$C$15*(1-$C$15*Допущения!$C$13)+Допущения!$C$11*Допущения!$C$16)+L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L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L41*Допущения!$C$48+L42*Допущения!$C$49+(L39*Допущения!$C$27+L40*Допущения!$C$28)*Допущения!$C$50+L34*$C$17</f>
        <v>19306.442401678683</v>
      </c>
      <c r="M44" s="83">
        <f>M35*(Допущения!$C$6/1000000)*(Допущения!$C$10*Допущения!$C$15*(1-$C$15*Допущения!$C$13)+Допущения!$C$11*Допущения!$C$16)+M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M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M41*Допущения!$C$48+M42*Допущения!$C$49+(M39*Допущения!$C$27+M40*Допущения!$C$28)*Допущения!$C$50+M34*$C$17</f>
        <v>22327.263277216385</v>
      </c>
      <c r="N44" s="83">
        <f>N35*(Допущения!$C$6/1000000)*(Допущения!$C$10*Допущения!$C$15*(1-$C$15*Допущения!$C$13)+Допущения!$C$11*Допущения!$C$16)+N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N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N41*Допущения!$C$48+N42*Допущения!$C$49+(N39*Допущения!$C$27+N40*Допущения!$C$28)*Допущения!$C$50+N34*$C$17</f>
        <v>25683.403044428465</v>
      </c>
      <c r="O44" s="83">
        <f>O35*(Допущения!$C$6/1000000)*(Допущения!$C$10*Допущения!$C$15*(1-$C$15*Допущения!$C$13)+Допущения!$C$11*Допущения!$C$16)+O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O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O41*Допущения!$C$48+O42*Допущения!$C$49+(O39*Допущения!$C$27+O40*Допущения!$C$28)*Допущения!$C$50+O34*$C$17</f>
        <v>28871.091406546853</v>
      </c>
      <c r="P44" s="83">
        <f>P35*(Допущения!$C$6/1000000)*(Допущения!$C$10*Допущения!$C$15*(1-$C$15*Допущения!$C$13)+Допущения!$C$11*Допущения!$C$16)+P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P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P41*Допущения!$C$48+P42*Допущения!$C$49+(P39*Допущения!$C$27+P40*Допущения!$C$28)*Допущения!$C$50+P34*$C$17</f>
        <v>32296.676757447807</v>
      </c>
      <c r="Q44" s="83">
        <f>Q35*(Допущения!$C$6/1000000)*(Допущения!$C$10*Допущения!$C$15*(1-$C$15*Допущения!$C$13)+Допущения!$C$11*Допущения!$C$16)+Q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Q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Q41*Допущения!$C$48+Q42*Допущения!$C$49+(Q39*Допущения!$C$27+Q40*Допущения!$C$28)*Допущения!$C$50+Q34*$C$17</f>
        <v>35965.417465667895</v>
      </c>
      <c r="R44" s="83">
        <f>R35*(Допущения!$C$6/1000000)*(Допущения!$C$10*Допущения!$C$15*(1-$C$15*Допущения!$C$13)+Допущения!$C$11*Допущения!$C$16)+R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R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R41*Допущения!$C$48+R42*Допущения!$C$49+(R39*Допущения!$C$27+R40*Допущения!$C$28)*Допущения!$C$50+R34*$C$17</f>
        <v>39886.922789208023</v>
      </c>
      <c r="S44" s="83">
        <f>S35*(Допущения!$C$6/1000000)*(Допущения!$C$10*Допущения!$C$15*(1-$C$15*Допущения!$C$13)+Допущения!$C$11*Допущения!$C$16)+S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S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S41*Допущения!$C$48+S42*Допущения!$C$49+(S39*Допущения!$C$27+S40*Допущения!$C$28)*Допущения!$C$50+S34*$C$17</f>
        <v>44074.685333916037</v>
      </c>
      <c r="T44" s="83">
        <f>T35*(Допущения!$C$6/1000000)*(Допущения!$C$10*Допущения!$C$15*(1-$C$15*Допущения!$C$13)+Допущения!$C$11*Допущения!$C$16)+T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T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T41*Допущения!$C$48+T42*Допущения!$C$49+(T39*Допущения!$C$27+T40*Допущения!$C$28)*Допущения!$C$50+T34*$C$17</f>
        <v>48545.727387915351</v>
      </c>
      <c r="U44" s="83">
        <f>U35*(Допущения!$C$6/1000000)*(Допущения!$C$10*Допущения!$C$15*(1-$C$15*Допущения!$C$13)+Допущения!$C$11*Допущения!$C$16)+U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U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U41*Допущения!$C$48+U42*Допущения!$C$49+(U39*Допущения!$C$27+U40*Допущения!$C$28)*Допущения!$C$50+U34*$C$17</f>
        <v>53320.343674261843</v>
      </c>
      <c r="V44" s="83">
        <f>V35*(Допущения!$C$6/1000000)*(Допущения!$C$10*Допущения!$C$15*(1-$C$15*Допущения!$C$13)+Допущения!$C$11*Допущения!$C$16)+V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V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V41*Допущения!$C$48+V42*Допущения!$C$49+(V39*Допущения!$C$27+V40*Допущения!$C$28)*Допущения!$C$50+V34*$C$17</f>
        <v>58421.926191389299</v>
      </c>
      <c r="W44" s="83">
        <f>W35*(Допущения!$C$6/1000000)*(Допущения!$C$10*Допущения!$C$15*(1-$C$15*Допущения!$C$13)+Допущения!$C$11*Допущения!$C$16)+W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W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W41*Допущения!$C$48+W42*Допущения!$C$49+(W39*Допущения!$C$27+W40*Допущения!$C$28)*Допущения!$C$50+W34*$C$17</f>
        <v>63876.859432690551</v>
      </c>
      <c r="X44" s="83">
        <f>X35*(Допущения!$C$6/1000000)*(Допущения!$C$10*Допущения!$C$15*(1-$C$15*Допущения!$C$13)+Допущения!$C$11*Допущения!$C$16)+X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X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X41*Допущения!$C$48+X42*Допущения!$C$49+(X39*Допущения!$C$27+X40*Допущения!$C$28)*Допущения!$C$50+X34*$C$17</f>
        <v>69714.476477021031</v>
      </c>
      <c r="Y44" s="83">
        <f>Y35*(Допущения!$C$6/1000000)*(Допущения!$C$10*Допущения!$C$15*(1-$C$15*Допущения!$C$13)+Допущения!$C$11*Допущения!$C$16)+Y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Y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Y41*Допущения!$C$48+Y42*Допущения!$C$49+(Y39*Допущения!$C$27+Y40*Допущения!$C$28)*Допущения!$C$50+Y34*$C$17</f>
        <v>75967.068291588628</v>
      </c>
      <c r="Z44" s="83">
        <f>Z35*(Допущения!$C$6/1000000)*(Допущения!$C$10*Допущения!$C$15*(1-$C$15*Допущения!$C$13)+Допущения!$C$11*Допущения!$C$16)+Z39*(Допущения!$C$7/1000000)*(Допущения!$C$22*(Допущения!$C$10*Допущения!$C$17*(1-$C$15*Допущения!$C$13)+Допущения!$C$11*Допущения!$C$18)+Допущения!$C$23*(Допущения!$C$10*Допущения!$C$19*(1-$C$15*Допущения!$C$13)+Допущения!$C$11*Допущения!$C$20))+Z40*(Допущения!$C$8/1000000)*(Допущения!$C$24*(Допущения!$C$10*Допущения!$C$17*(1-$C$15*Допущения!$C$13)+Допущения!$C$11*Допущения!$C$18)+Допущения!$C$25*(Допущения!$C$10*Допущения!$C$19*(1-$C$15*Допущения!$C$13)+Допущения!$C$11*Допущения!$C$20))+Z41*Допущения!$C$48+Z42*Допущения!$C$49+(Z39*Допущения!$C$27+Z40*Допущения!$C$28)*Допущения!$C$50+Z34*$C$17</f>
        <v>82669.940146763023</v>
      </c>
    </row>
    <row r="45" spans="2:26" ht="15" customHeight="1" x14ac:dyDescent="0.2">
      <c r="B45" s="84" t="s">
        <v>298</v>
      </c>
      <c r="C45" s="85">
        <f t="shared" ref="C45:Z45" si="5">C43-C44</f>
        <v>-2100.9607999999998</v>
      </c>
      <c r="D45" s="85">
        <f t="shared" si="5"/>
        <v>-2207.6751839999997</v>
      </c>
      <c r="E45" s="85">
        <f t="shared" si="5"/>
        <v>-2257.2373555200002</v>
      </c>
      <c r="F45" s="85">
        <f t="shared" si="5"/>
        <v>-2264.6230768896003</v>
      </c>
      <c r="G45" s="85">
        <f t="shared" si="5"/>
        <v>-2242.0439267450874</v>
      </c>
      <c r="H45" s="85">
        <f t="shared" si="5"/>
        <v>-2199.4898946444891</v>
      </c>
      <c r="I45" s="85">
        <f t="shared" si="5"/>
        <v>-1697.7334747159057</v>
      </c>
      <c r="J45" s="85">
        <f t="shared" si="5"/>
        <v>-1119.2864229757161</v>
      </c>
      <c r="K45" s="85">
        <f t="shared" si="5"/>
        <v>-472.35299489748286</v>
      </c>
      <c r="L45" s="85">
        <f t="shared" si="5"/>
        <v>238.28294057968014</v>
      </c>
      <c r="M45" s="85">
        <f t="shared" si="5"/>
        <v>1010.7814080409371</v>
      </c>
      <c r="N45" s="85">
        <f t="shared" si="5"/>
        <v>1845.8754452368194</v>
      </c>
      <c r="O45" s="85">
        <f t="shared" si="5"/>
        <v>3188.185185736831</v>
      </c>
      <c r="P45" s="85">
        <f t="shared" si="5"/>
        <v>4619.0808578842334</v>
      </c>
      <c r="Q45" s="85">
        <f t="shared" si="5"/>
        <v>6130.5037880318559</v>
      </c>
      <c r="R45" s="85">
        <f t="shared" si="5"/>
        <v>7718.150071458309</v>
      </c>
      <c r="S45" s="85">
        <f t="shared" si="5"/>
        <v>9380.8460771019309</v>
      </c>
      <c r="T45" s="85">
        <f t="shared" si="5"/>
        <v>11120.047194222971</v>
      </c>
      <c r="U45" s="85">
        <f t="shared" si="5"/>
        <v>12939.439045089843</v>
      </c>
      <c r="V45" s="85">
        <f t="shared" si="5"/>
        <v>14844.623969831737</v>
      </c>
      <c r="W45" s="85">
        <f t="shared" si="5"/>
        <v>16842.878578717609</v>
      </c>
      <c r="X45" s="85">
        <f t="shared" si="5"/>
        <v>18942.970661391475</v>
      </c>
      <c r="Y45" s="85">
        <f t="shared" si="5"/>
        <v>21155.025824094904</v>
      </c>
      <c r="Z45" s="85">
        <f t="shared" si="5"/>
        <v>23490.435963309996</v>
      </c>
    </row>
    <row r="46" spans="2:26" ht="15" customHeight="1" x14ac:dyDescent="0.2">
      <c r="B46" s="81" t="s">
        <v>299</v>
      </c>
      <c r="C46" s="86">
        <f>C45</f>
        <v>-2100.9607999999998</v>
      </c>
      <c r="D46" s="86">
        <f t="shared" ref="D46:Z46" si="6">C46+D45</f>
        <v>-4308.6359839999996</v>
      </c>
      <c r="E46" s="86">
        <f t="shared" si="6"/>
        <v>-6565.8733395199997</v>
      </c>
      <c r="F46" s="86">
        <f t="shared" si="6"/>
        <v>-8830.4964164096</v>
      </c>
      <c r="G46" s="86">
        <f t="shared" si="6"/>
        <v>-11072.540343154687</v>
      </c>
      <c r="H46" s="86">
        <f t="shared" si="6"/>
        <v>-13272.030237799176</v>
      </c>
      <c r="I46" s="86">
        <f t="shared" si="6"/>
        <v>-14969.763712515081</v>
      </c>
      <c r="J46" s="86">
        <f t="shared" si="6"/>
        <v>-16089.050135490797</v>
      </c>
      <c r="K46" s="86">
        <f t="shared" si="6"/>
        <v>-16561.40313038828</v>
      </c>
      <c r="L46" s="86">
        <f t="shared" si="6"/>
        <v>-16323.1201898086</v>
      </c>
      <c r="M46" s="86">
        <f t="shared" si="6"/>
        <v>-15312.338781767663</v>
      </c>
      <c r="N46" s="86">
        <f t="shared" si="6"/>
        <v>-13466.463336530844</v>
      </c>
      <c r="O46" s="86">
        <f t="shared" si="6"/>
        <v>-10278.278150794013</v>
      </c>
      <c r="P46" s="86">
        <f t="shared" si="6"/>
        <v>-5659.1972929097792</v>
      </c>
      <c r="Q46" s="86">
        <f t="shared" si="6"/>
        <v>471.30649512207674</v>
      </c>
      <c r="R46" s="86">
        <f t="shared" si="6"/>
        <v>8189.4565665803857</v>
      </c>
      <c r="S46" s="86">
        <f t="shared" si="6"/>
        <v>17570.302643682317</v>
      </c>
      <c r="T46" s="86">
        <f t="shared" si="6"/>
        <v>28690.349837905287</v>
      </c>
      <c r="U46" s="86">
        <f t="shared" si="6"/>
        <v>41629.788882995126</v>
      </c>
      <c r="V46" s="86">
        <f t="shared" si="6"/>
        <v>56474.412852826863</v>
      </c>
      <c r="W46" s="86">
        <f t="shared" si="6"/>
        <v>73317.291431544465</v>
      </c>
      <c r="X46" s="86">
        <f t="shared" si="6"/>
        <v>92260.26209293594</v>
      </c>
      <c r="Y46" s="86">
        <f t="shared" si="6"/>
        <v>113415.28791703084</v>
      </c>
      <c r="Z46" s="86">
        <f t="shared" si="6"/>
        <v>136905.72388034084</v>
      </c>
    </row>
    <row r="49" spans="2:26" ht="15" customHeight="1" x14ac:dyDescent="0.2">
      <c r="B49" s="87" t="s">
        <v>300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spans="2:26" ht="15" customHeight="1" x14ac:dyDescent="0.2">
      <c r="B50" s="89" t="s">
        <v>287</v>
      </c>
      <c r="C50" s="90" t="s">
        <v>183</v>
      </c>
      <c r="D50" s="90" t="s">
        <v>184</v>
      </c>
      <c r="E50" s="90" t="s">
        <v>185</v>
      </c>
      <c r="F50" s="90" t="s">
        <v>186</v>
      </c>
      <c r="G50" s="90" t="s">
        <v>187</v>
      </c>
      <c r="H50" s="90" t="s">
        <v>188</v>
      </c>
      <c r="I50" s="90" t="s">
        <v>189</v>
      </c>
      <c r="J50" s="90" t="s">
        <v>190</v>
      </c>
      <c r="K50" s="90" t="s">
        <v>191</v>
      </c>
      <c r="L50" s="90" t="s">
        <v>192</v>
      </c>
      <c r="M50" s="90" t="s">
        <v>193</v>
      </c>
      <c r="N50" s="90" t="s">
        <v>194</v>
      </c>
      <c r="O50" s="90" t="s">
        <v>195</v>
      </c>
      <c r="P50" s="90" t="s">
        <v>196</v>
      </c>
      <c r="Q50" s="90" t="s">
        <v>197</v>
      </c>
      <c r="R50" s="90" t="s">
        <v>198</v>
      </c>
      <c r="S50" s="90" t="s">
        <v>199</v>
      </c>
      <c r="T50" s="90" t="s">
        <v>200</v>
      </c>
      <c r="U50" s="90" t="s">
        <v>201</v>
      </c>
      <c r="V50" s="90" t="s">
        <v>202</v>
      </c>
      <c r="W50" s="90" t="s">
        <v>203</v>
      </c>
      <c r="X50" s="90" t="s">
        <v>204</v>
      </c>
      <c r="Y50" s="90" t="s">
        <v>205</v>
      </c>
      <c r="Z50" s="90" t="s">
        <v>206</v>
      </c>
    </row>
    <row r="51" spans="2:26" ht="15" customHeight="1" x14ac:dyDescent="0.2">
      <c r="B51" s="77" t="s">
        <v>288</v>
      </c>
      <c r="C51" s="78">
        <f>Допущения!$C$52</f>
        <v>1000</v>
      </c>
      <c r="D51" s="78">
        <f>C51*(1+IF(2&lt;=6,$D$11,IF(2&lt;=12,$D$12,$D$13)))</f>
        <v>1300</v>
      </c>
      <c r="E51" s="78">
        <f>D51*(1+IF(3&lt;=6,$D$11,IF(3&lt;=12,$D$12,$D$13)))</f>
        <v>1690</v>
      </c>
      <c r="F51" s="78">
        <f>E51*(1+IF(4&lt;=6,$D$11,IF(4&lt;=12,$D$12,$D$13)))</f>
        <v>2197</v>
      </c>
      <c r="G51" s="78">
        <f>F51*(1+IF(5&lt;=6,$D$11,IF(5&lt;=12,$D$12,$D$13)))</f>
        <v>2856.1</v>
      </c>
      <c r="H51" s="78">
        <f>G51*(1+IF(6&lt;=6,$D$11,IF(6&lt;=12,$D$12,$D$13)))</f>
        <v>3712.93</v>
      </c>
      <c r="I51" s="78">
        <f>H51*(1+IF(7&lt;=6,$D$11,IF(7&lt;=12,$D$12,$D$13)))</f>
        <v>4381.2573999999995</v>
      </c>
      <c r="J51" s="78">
        <f>I51*(1+IF(8&lt;=6,$D$11,IF(8&lt;=12,$D$12,$D$13)))</f>
        <v>5169.8837319999993</v>
      </c>
      <c r="K51" s="78">
        <f>J51*(1+IF(9&lt;=6,$D$11,IF(9&lt;=12,$D$12,$D$13)))</f>
        <v>6100.4628037599987</v>
      </c>
      <c r="L51" s="78">
        <f>K51*(1+IF(10&lt;=6,$D$11,IF(10&lt;=12,$D$12,$D$13)))</f>
        <v>7198.546108436798</v>
      </c>
      <c r="M51" s="78">
        <f>L51*(1+IF(11&lt;=6,$D$11,IF(11&lt;=12,$D$12,$D$13)))</f>
        <v>8494.2844079554216</v>
      </c>
      <c r="N51" s="78">
        <f>M51*(1+IF(12&lt;=6,$D$11,IF(12&lt;=12,$D$12,$D$13)))</f>
        <v>10023.255601387396</v>
      </c>
      <c r="O51" s="78">
        <f>N51*(1+IF(13&lt;=6,$D$11,IF(13&lt;=12,$D$12,$D$13)))</f>
        <v>11226.046273553886</v>
      </c>
      <c r="P51" s="78">
        <f>O51*(1+IF(14&lt;=6,$D$11,IF(14&lt;=12,$D$12,$D$13)))</f>
        <v>12573.171826380354</v>
      </c>
      <c r="Q51" s="78">
        <f>P51*(1+IF(15&lt;=6,$D$11,IF(15&lt;=12,$D$12,$D$13)))</f>
        <v>14081.952445545998</v>
      </c>
      <c r="R51" s="78">
        <f>Q51*(1+IF(16&lt;=6,$D$11,IF(16&lt;=12,$D$12,$D$13)))</f>
        <v>15771.786739011519</v>
      </c>
      <c r="S51" s="78">
        <f>R51*(1+IF(17&lt;=6,$D$11,IF(17&lt;=12,$D$12,$D$13)))</f>
        <v>17664.401147692904</v>
      </c>
      <c r="T51" s="78">
        <f>S51*(1+IF(18&lt;=6,$D$11,IF(18&lt;=12,$D$12,$D$13)))</f>
        <v>19784.129285416057</v>
      </c>
      <c r="U51" s="78">
        <f>T51*(1+IF(19&lt;=6,$D$11,IF(19&lt;=12,$D$12,$D$13)))</f>
        <v>22158.224799665986</v>
      </c>
      <c r="V51" s="78">
        <f>U51*(1+IF(20&lt;=6,$D$11,IF(20&lt;=12,$D$12,$D$13)))</f>
        <v>24817.211775625907</v>
      </c>
      <c r="W51" s="78">
        <f>V51*(1+IF(21&lt;=6,$D$11,IF(21&lt;=12,$D$12,$D$13)))</f>
        <v>27795.277188701017</v>
      </c>
      <c r="X51" s="78">
        <f>W51*(1+IF(22&lt;=6,$D$11,IF(22&lt;=12,$D$12,$D$13)))</f>
        <v>31130.710451345141</v>
      </c>
      <c r="Y51" s="78">
        <f>X51*(1+IF(23&lt;=6,$D$11,IF(23&lt;=12,$D$12,$D$13)))</f>
        <v>34866.395705506562</v>
      </c>
      <c r="Z51" s="78">
        <f>Y51*(1+IF(24&lt;=6,$D$11,IF(24&lt;=12,$D$12,$D$13)))</f>
        <v>39050.363190167351</v>
      </c>
    </row>
    <row r="52" spans="2:26" ht="15" customHeight="1" x14ac:dyDescent="0.2">
      <c r="B52" s="79" t="s">
        <v>289</v>
      </c>
      <c r="C52" s="80">
        <f>C51</f>
        <v>1000</v>
      </c>
      <c r="D52" s="80">
        <f>C52*(1-Допущения!$C$34-$D$7)+D51</f>
        <v>2130</v>
      </c>
      <c r="E52" s="80">
        <f>D52*(1-Допущения!$C$34-$D$7)+E51</f>
        <v>3457.8999999999996</v>
      </c>
      <c r="F52" s="80">
        <f>E52*(1-Допущения!$C$34-$D$7)+F51</f>
        <v>5067.0569999999989</v>
      </c>
      <c r="G52" s="80">
        <f>F52*(1-Допущения!$C$34-$D$7)+G51</f>
        <v>7061.7573099999991</v>
      </c>
      <c r="H52" s="80">
        <f>G52*(1-Допущения!$C$34-$D$7)+H51</f>
        <v>9574.1885672999979</v>
      </c>
      <c r="I52" s="80">
        <f>H52*(1-Допущения!$C$34-$D$7)+I51</f>
        <v>12327.833910858997</v>
      </c>
      <c r="J52" s="80">
        <f>I52*(1-Допущения!$C$34-$D$7)+J51</f>
        <v>15401.985878012965</v>
      </c>
      <c r="K52" s="80">
        <f>J52*(1-Допущения!$C$34-$D$7)+K51</f>
        <v>18884.111082510761</v>
      </c>
      <c r="L52" s="80">
        <f>K52*(1-Допущения!$C$34-$D$7)+L51</f>
        <v>22872.358306920731</v>
      </c>
      <c r="M52" s="80">
        <f>L52*(1-Допущения!$C$34-$D$7)+M51</f>
        <v>27478.34180269963</v>
      </c>
      <c r="N52" s="80">
        <f>M52*(1-Допущения!$C$34-$D$7)+N51</f>
        <v>32830.279297628091</v>
      </c>
      <c r="O52" s="80">
        <f>N52*(1-Допущения!$C$34-$D$7)+O51</f>
        <v>38475.178090585199</v>
      </c>
      <c r="P52" s="80">
        <f>O52*(1-Допущения!$C$34-$D$7)+P51</f>
        <v>44507.569641566071</v>
      </c>
      <c r="Q52" s="80">
        <f>P52*(1-Допущения!$C$34-$D$7)+Q51</f>
        <v>51023.235248045836</v>
      </c>
      <c r="R52" s="80">
        <f>Q52*(1-Допущения!$C$34-$D$7)+R51</f>
        <v>58121.071994889564</v>
      </c>
      <c r="S52" s="80">
        <f>R52*(1-Допущения!$C$34-$D$7)+S51</f>
        <v>65904.890903451247</v>
      </c>
      <c r="T52" s="80">
        <f>S52*(1-Допущения!$C$34-$D$7)+T51</f>
        <v>74485.188735280593</v>
      </c>
      <c r="U52" s="80">
        <f>T52*(1-Допущения!$C$34-$D$7)+U51</f>
        <v>83980.931449948868</v>
      </c>
      <c r="V52" s="80">
        <f>U52*(1-Допущения!$C$34-$D$7)+V51</f>
        <v>94521.384879083475</v>
      </c>
      <c r="W52" s="80">
        <f>V52*(1-Допущения!$C$34-$D$7)+W51</f>
        <v>106248.02663834029</v>
      </c>
      <c r="X52" s="80">
        <f>W52*(1-Допущения!$C$34-$D$7)+X51</f>
        <v>119316.57256116759</v>
      </c>
      <c r="Y52" s="80">
        <f>X52*(1-Допущения!$C$34-$D$7)+Y51</f>
        <v>133899.15093127565</v>
      </c>
      <c r="Z52" s="80">
        <f>Y52*(1-Допущения!$C$34-$D$7)+Z51</f>
        <v>150186.65846312614</v>
      </c>
    </row>
    <row r="53" spans="2:26" ht="15" customHeight="1" x14ac:dyDescent="0.2">
      <c r="B53" s="77" t="s">
        <v>290</v>
      </c>
      <c r="C53" s="78">
        <f>C52*$D$7</f>
        <v>20</v>
      </c>
      <c r="D53" s="78">
        <f t="shared" ref="D53:Z53" si="7">C52*$D$7</f>
        <v>20</v>
      </c>
      <c r="E53" s="78">
        <f t="shared" si="7"/>
        <v>42.6</v>
      </c>
      <c r="F53" s="78">
        <f t="shared" si="7"/>
        <v>69.158000000000001</v>
      </c>
      <c r="G53" s="78">
        <f t="shared" si="7"/>
        <v>101.34113999999998</v>
      </c>
      <c r="H53" s="78">
        <f t="shared" si="7"/>
        <v>141.23514619999997</v>
      </c>
      <c r="I53" s="78">
        <f t="shared" si="7"/>
        <v>191.48377134599997</v>
      </c>
      <c r="J53" s="78">
        <f t="shared" si="7"/>
        <v>246.55667821717995</v>
      </c>
      <c r="K53" s="78">
        <f t="shared" si="7"/>
        <v>308.03971756025931</v>
      </c>
      <c r="L53" s="78">
        <f t="shared" si="7"/>
        <v>377.68222165021524</v>
      </c>
      <c r="M53" s="78">
        <f t="shared" si="7"/>
        <v>457.44716613841462</v>
      </c>
      <c r="N53" s="78">
        <f t="shared" si="7"/>
        <v>549.56683605399257</v>
      </c>
      <c r="O53" s="78">
        <f t="shared" si="7"/>
        <v>656.6055859525618</v>
      </c>
      <c r="P53" s="78">
        <f t="shared" si="7"/>
        <v>769.503561811704</v>
      </c>
      <c r="Q53" s="78">
        <f t="shared" si="7"/>
        <v>890.15139283132146</v>
      </c>
      <c r="R53" s="78">
        <f t="shared" si="7"/>
        <v>1020.4647049609167</v>
      </c>
      <c r="S53" s="78">
        <f t="shared" si="7"/>
        <v>1162.4214398977913</v>
      </c>
      <c r="T53" s="78">
        <f t="shared" si="7"/>
        <v>1318.0978180690249</v>
      </c>
      <c r="U53" s="78">
        <f t="shared" si="7"/>
        <v>1489.703774705612</v>
      </c>
      <c r="V53" s="78">
        <f t="shared" si="7"/>
        <v>1679.6186289989773</v>
      </c>
      <c r="W53" s="78">
        <f t="shared" si="7"/>
        <v>1890.4276975816695</v>
      </c>
      <c r="X53" s="78">
        <f t="shared" si="7"/>
        <v>2124.960532766806</v>
      </c>
      <c r="Y53" s="78">
        <f t="shared" si="7"/>
        <v>2386.3314512233519</v>
      </c>
      <c r="Z53" s="78">
        <f t="shared" si="7"/>
        <v>2677.9830186255131</v>
      </c>
    </row>
    <row r="54" spans="2:26" ht="15" customHeight="1" x14ac:dyDescent="0.2">
      <c r="B54" s="77" t="s">
        <v>291</v>
      </c>
      <c r="C54" s="78">
        <f>C53*Допущения!$C$31</f>
        <v>18</v>
      </c>
      <c r="D54" s="78">
        <f>D53*Допущения!$C$31</f>
        <v>18</v>
      </c>
      <c r="E54" s="78">
        <f>E53*Допущения!$C$31</f>
        <v>38.340000000000003</v>
      </c>
      <c r="F54" s="78">
        <f>F53*Допущения!$C$31</f>
        <v>62.242200000000004</v>
      </c>
      <c r="G54" s="78">
        <f>G53*Допущения!$C$31</f>
        <v>91.207025999999985</v>
      </c>
      <c r="H54" s="78">
        <f>H53*Допущения!$C$31</f>
        <v>127.11163157999998</v>
      </c>
      <c r="I54" s="78">
        <f>I53*Допущения!$C$31</f>
        <v>172.33539421139997</v>
      </c>
      <c r="J54" s="78">
        <f>J53*Допущения!$C$31</f>
        <v>221.90101039546195</v>
      </c>
      <c r="K54" s="78">
        <f>K53*Допущения!$C$31</f>
        <v>277.23574580423337</v>
      </c>
      <c r="L54" s="78">
        <f>L53*Допущения!$C$31</f>
        <v>339.9139994851937</v>
      </c>
      <c r="M54" s="78">
        <f>M53*Допущения!$C$31</f>
        <v>411.70244952457318</v>
      </c>
      <c r="N54" s="78">
        <f>N53*Допущения!$C$31</f>
        <v>494.61015244859334</v>
      </c>
      <c r="O54" s="78">
        <f>O53*Допущения!$C$31</f>
        <v>590.94502735730566</v>
      </c>
      <c r="P54" s="78">
        <f>P53*Допущения!$C$31</f>
        <v>692.55320563053363</v>
      </c>
      <c r="Q54" s="78">
        <f>Q53*Допущения!$C$31</f>
        <v>801.1362535481893</v>
      </c>
      <c r="R54" s="78">
        <f>R53*Допущения!$C$31</f>
        <v>918.4182344648251</v>
      </c>
      <c r="S54" s="78">
        <f>S53*Допущения!$C$31</f>
        <v>1046.1792959080121</v>
      </c>
      <c r="T54" s="78">
        <f>T53*Допущения!$C$31</f>
        <v>1186.2880362621224</v>
      </c>
      <c r="U54" s="78">
        <f>U53*Допущения!$C$31</f>
        <v>1340.7333972350509</v>
      </c>
      <c r="V54" s="78">
        <f>V53*Допущения!$C$31</f>
        <v>1511.6567660990797</v>
      </c>
      <c r="W54" s="78">
        <f>W53*Допущения!$C$31</f>
        <v>1701.3849278235025</v>
      </c>
      <c r="X54" s="78">
        <f>X53*Допущения!$C$31</f>
        <v>1912.4644794901253</v>
      </c>
      <c r="Y54" s="78">
        <f>Y53*Допущения!$C$31</f>
        <v>2147.6983061010169</v>
      </c>
      <c r="Z54" s="78">
        <f>Z53*Допущения!$C$31</f>
        <v>2410.1847167629617</v>
      </c>
    </row>
    <row r="55" spans="2:26" ht="15" customHeight="1" x14ac:dyDescent="0.2">
      <c r="B55" s="77" t="s">
        <v>292</v>
      </c>
      <c r="C55" s="78">
        <f>C53*Допущения!$C$32</f>
        <v>2</v>
      </c>
      <c r="D55" s="78">
        <f>D53*Допущения!$C$32</f>
        <v>2</v>
      </c>
      <c r="E55" s="78">
        <f>E53*Допущения!$C$32</f>
        <v>4.2600000000000007</v>
      </c>
      <c r="F55" s="78">
        <f>F53*Допущения!$C$32</f>
        <v>6.9158000000000008</v>
      </c>
      <c r="G55" s="78">
        <f>G53*Допущения!$C$32</f>
        <v>10.134113999999999</v>
      </c>
      <c r="H55" s="78">
        <f>H53*Допущения!$C$32</f>
        <v>14.123514619999998</v>
      </c>
      <c r="I55" s="78">
        <f>I53*Допущения!$C$32</f>
        <v>19.148377134599997</v>
      </c>
      <c r="J55" s="78">
        <f>J53*Допущения!$C$32</f>
        <v>24.655667821717998</v>
      </c>
      <c r="K55" s="78">
        <f>K53*Допущения!$C$32</f>
        <v>30.803971756025931</v>
      </c>
      <c r="L55" s="78">
        <f>L53*Допущения!$C$32</f>
        <v>37.768222165021527</v>
      </c>
      <c r="M55" s="78">
        <f>M53*Допущения!$C$32</f>
        <v>45.744716613841462</v>
      </c>
      <c r="N55" s="78">
        <f>N53*Допущения!$C$32</f>
        <v>54.956683605399263</v>
      </c>
      <c r="O55" s="78">
        <f>O53*Допущения!$C$32</f>
        <v>65.660558595256177</v>
      </c>
      <c r="P55" s="78">
        <f>P53*Допущения!$C$32</f>
        <v>76.950356181170406</v>
      </c>
      <c r="Q55" s="78">
        <f>Q53*Допущения!$C$32</f>
        <v>89.015139283132157</v>
      </c>
      <c r="R55" s="78">
        <f>R53*Допущения!$C$32</f>
        <v>102.04647049609167</v>
      </c>
      <c r="S55" s="78">
        <f>S53*Допущения!$C$32</f>
        <v>116.24214398977914</v>
      </c>
      <c r="T55" s="78">
        <f>T53*Допущения!$C$32</f>
        <v>131.80978180690249</v>
      </c>
      <c r="U55" s="78">
        <f>U53*Допущения!$C$32</f>
        <v>148.9703774705612</v>
      </c>
      <c r="V55" s="78">
        <f>V53*Допущения!$C$32</f>
        <v>167.96186289989774</v>
      </c>
      <c r="W55" s="78">
        <f>W53*Допущения!$C$32</f>
        <v>189.04276975816697</v>
      </c>
      <c r="X55" s="78">
        <f>X53*Допущения!$C$32</f>
        <v>212.49605327668061</v>
      </c>
      <c r="Y55" s="78">
        <f>Y53*Допущения!$C$32</f>
        <v>238.63314512233521</v>
      </c>
      <c r="Z55" s="78">
        <f>Z53*Допущения!$C$32</f>
        <v>267.79830186255134</v>
      </c>
    </row>
    <row r="56" spans="2:26" ht="15" customHeight="1" x14ac:dyDescent="0.2">
      <c r="B56" s="79" t="s">
        <v>293</v>
      </c>
      <c r="C56" s="80">
        <f>C54</f>
        <v>18</v>
      </c>
      <c r="D56" s="80">
        <f t="shared" ref="D56:Z56" si="8">C56*(1-$D$8)+D54</f>
        <v>34.56</v>
      </c>
      <c r="E56" s="80">
        <f t="shared" si="8"/>
        <v>70.135200000000012</v>
      </c>
      <c r="F56" s="80">
        <f t="shared" si="8"/>
        <v>126.76658400000002</v>
      </c>
      <c r="G56" s="80">
        <f t="shared" si="8"/>
        <v>207.83228328000001</v>
      </c>
      <c r="H56" s="80">
        <f t="shared" si="8"/>
        <v>318.31733219760002</v>
      </c>
      <c r="I56" s="80">
        <f t="shared" si="8"/>
        <v>465.18733983319203</v>
      </c>
      <c r="J56" s="80">
        <f t="shared" si="8"/>
        <v>649.87336304199869</v>
      </c>
      <c r="K56" s="80">
        <f t="shared" si="8"/>
        <v>875.11923980287224</v>
      </c>
      <c r="L56" s="80">
        <f t="shared" si="8"/>
        <v>1145.0237001038363</v>
      </c>
      <c r="M56" s="80">
        <f t="shared" si="8"/>
        <v>1465.1242536201028</v>
      </c>
      <c r="N56" s="80">
        <f t="shared" si="8"/>
        <v>1842.5244657790881</v>
      </c>
      <c r="O56" s="80">
        <f t="shared" si="8"/>
        <v>2286.0675358740668</v>
      </c>
      <c r="P56" s="80">
        <f t="shared" si="8"/>
        <v>2795.7353386346754</v>
      </c>
      <c r="Q56" s="80">
        <f t="shared" si="8"/>
        <v>3373.2127650920906</v>
      </c>
      <c r="R56" s="80">
        <f t="shared" si="8"/>
        <v>4021.7739783495485</v>
      </c>
      <c r="S56" s="80">
        <f t="shared" si="8"/>
        <v>4746.211355989597</v>
      </c>
      <c r="T56" s="80">
        <f t="shared" si="8"/>
        <v>5552.8024837725525</v>
      </c>
      <c r="U56" s="80">
        <f t="shared" si="8"/>
        <v>6449.311682305799</v>
      </c>
      <c r="V56" s="80">
        <f t="shared" si="8"/>
        <v>7445.0235138204152</v>
      </c>
      <c r="W56" s="80">
        <f t="shared" si="8"/>
        <v>8550.8065605382853</v>
      </c>
      <c r="X56" s="80">
        <f t="shared" si="8"/>
        <v>9779.2065151853476</v>
      </c>
      <c r="Y56" s="80">
        <f t="shared" si="8"/>
        <v>11144.568300071536</v>
      </c>
      <c r="Z56" s="80">
        <f t="shared" si="8"/>
        <v>12663.187552828776</v>
      </c>
    </row>
    <row r="57" spans="2:26" ht="15" customHeight="1" x14ac:dyDescent="0.2">
      <c r="B57" s="79" t="s">
        <v>294</v>
      </c>
      <c r="C57" s="80">
        <f>C55</f>
        <v>2</v>
      </c>
      <c r="D57" s="80">
        <f t="shared" ref="D57:Z57" si="9">C57*(1-$D$9)+D55</f>
        <v>3.9</v>
      </c>
      <c r="E57" s="80">
        <f t="shared" si="9"/>
        <v>7.9649999999999999</v>
      </c>
      <c r="F57" s="80">
        <f t="shared" si="9"/>
        <v>14.48255</v>
      </c>
      <c r="G57" s="80">
        <f t="shared" si="9"/>
        <v>23.892536499999999</v>
      </c>
      <c r="H57" s="80">
        <f t="shared" si="9"/>
        <v>36.821424295</v>
      </c>
      <c r="I57" s="80">
        <f t="shared" si="9"/>
        <v>54.128730214849995</v>
      </c>
      <c r="J57" s="80">
        <f t="shared" si="9"/>
        <v>76.077961525825486</v>
      </c>
      <c r="K57" s="80">
        <f t="shared" si="9"/>
        <v>103.07803520556014</v>
      </c>
      <c r="L57" s="80">
        <f t="shared" si="9"/>
        <v>135.69235561030365</v>
      </c>
      <c r="M57" s="80">
        <f t="shared" si="9"/>
        <v>174.65245444362992</v>
      </c>
      <c r="N57" s="80">
        <f t="shared" si="9"/>
        <v>220.87651532684768</v>
      </c>
      <c r="O57" s="80">
        <f t="shared" si="9"/>
        <v>275.49324815576148</v>
      </c>
      <c r="P57" s="80">
        <f t="shared" si="9"/>
        <v>338.66894192914378</v>
      </c>
      <c r="Q57" s="80">
        <f t="shared" si="9"/>
        <v>410.75063411581874</v>
      </c>
      <c r="R57" s="80">
        <f t="shared" si="9"/>
        <v>492.25957290611944</v>
      </c>
      <c r="S57" s="80">
        <f t="shared" si="9"/>
        <v>583.88873825059261</v>
      </c>
      <c r="T57" s="80">
        <f t="shared" si="9"/>
        <v>686.50408314496542</v>
      </c>
      <c r="U57" s="80">
        <f t="shared" si="9"/>
        <v>801.14925645827827</v>
      </c>
      <c r="V57" s="80">
        <f t="shared" si="9"/>
        <v>929.05365653526201</v>
      </c>
      <c r="W57" s="80">
        <f t="shared" si="9"/>
        <v>1071.6437434666659</v>
      </c>
      <c r="X57" s="80">
        <f t="shared" si="9"/>
        <v>1230.5576095700133</v>
      </c>
      <c r="Y57" s="80">
        <f t="shared" si="9"/>
        <v>1407.6628742138478</v>
      </c>
      <c r="Z57" s="80">
        <f t="shared" si="9"/>
        <v>1605.0780323657068</v>
      </c>
    </row>
    <row r="58" spans="2:26" ht="15" customHeight="1" x14ac:dyDescent="0.2">
      <c r="B58" s="91" t="s">
        <v>216</v>
      </c>
      <c r="C58" s="92">
        <f t="shared" ref="C58:Z58" si="10">C52+C56+C57</f>
        <v>1020</v>
      </c>
      <c r="D58" s="92">
        <f t="shared" si="10"/>
        <v>2168.46</v>
      </c>
      <c r="E58" s="92">
        <f t="shared" si="10"/>
        <v>3536.0001999999999</v>
      </c>
      <c r="F58" s="92">
        <f t="shared" si="10"/>
        <v>5208.3061339999986</v>
      </c>
      <c r="G58" s="92">
        <f t="shared" si="10"/>
        <v>7293.482129779999</v>
      </c>
      <c r="H58" s="92">
        <f t="shared" si="10"/>
        <v>9929.3273237925969</v>
      </c>
      <c r="I58" s="92">
        <f t="shared" si="10"/>
        <v>12847.149980907039</v>
      </c>
      <c r="J58" s="92">
        <f t="shared" si="10"/>
        <v>16127.93720258079</v>
      </c>
      <c r="K58" s="92">
        <f t="shared" si="10"/>
        <v>19862.308357519192</v>
      </c>
      <c r="L58" s="92">
        <f t="shared" si="10"/>
        <v>24153.07436263487</v>
      </c>
      <c r="M58" s="92">
        <f t="shared" si="10"/>
        <v>29118.118510763361</v>
      </c>
      <c r="N58" s="92">
        <f t="shared" si="10"/>
        <v>34893.680278734028</v>
      </c>
      <c r="O58" s="92">
        <f t="shared" si="10"/>
        <v>41036.738874615032</v>
      </c>
      <c r="P58" s="92">
        <f t="shared" si="10"/>
        <v>47641.973922129888</v>
      </c>
      <c r="Q58" s="92">
        <f t="shared" si="10"/>
        <v>54807.198647253746</v>
      </c>
      <c r="R58" s="92">
        <f t="shared" si="10"/>
        <v>62635.105546145234</v>
      </c>
      <c r="S58" s="92">
        <f t="shared" si="10"/>
        <v>71234.990997691435</v>
      </c>
      <c r="T58" s="92">
        <f t="shared" si="10"/>
        <v>80724.495302198105</v>
      </c>
      <c r="U58" s="92">
        <f t="shared" si="10"/>
        <v>91231.392388712935</v>
      </c>
      <c r="V58" s="92">
        <f t="shared" si="10"/>
        <v>102895.46204943916</v>
      </c>
      <c r="W58" s="92">
        <f t="shared" si="10"/>
        <v>115870.47694234524</v>
      </c>
      <c r="X58" s="92">
        <f t="shared" si="10"/>
        <v>130326.33668592294</v>
      </c>
      <c r="Y58" s="92">
        <f t="shared" si="10"/>
        <v>146451.38210556106</v>
      </c>
      <c r="Z58" s="92">
        <f t="shared" si="10"/>
        <v>164454.92404832062</v>
      </c>
    </row>
    <row r="59" spans="2:26" ht="15" customHeight="1" x14ac:dyDescent="0.2">
      <c r="B59" s="91" t="s">
        <v>295</v>
      </c>
      <c r="C59" s="92">
        <f t="shared" ref="C59:Z59" si="11">C56+C57</f>
        <v>20</v>
      </c>
      <c r="D59" s="92">
        <f t="shared" si="11"/>
        <v>38.46</v>
      </c>
      <c r="E59" s="92">
        <f t="shared" si="11"/>
        <v>78.100200000000015</v>
      </c>
      <c r="F59" s="92">
        <f t="shared" si="11"/>
        <v>141.24913400000003</v>
      </c>
      <c r="G59" s="92">
        <f t="shared" si="11"/>
        <v>231.72481978000002</v>
      </c>
      <c r="H59" s="92">
        <f t="shared" si="11"/>
        <v>355.13875649260001</v>
      </c>
      <c r="I59" s="92">
        <f t="shared" si="11"/>
        <v>519.31607004804198</v>
      </c>
      <c r="J59" s="92">
        <f t="shared" si="11"/>
        <v>725.95132456782414</v>
      </c>
      <c r="K59" s="92">
        <f t="shared" si="11"/>
        <v>978.19727500843237</v>
      </c>
      <c r="L59" s="92">
        <f t="shared" si="11"/>
        <v>1280.7160557141399</v>
      </c>
      <c r="M59" s="92">
        <f t="shared" si="11"/>
        <v>1639.7767080637327</v>
      </c>
      <c r="N59" s="92">
        <f t="shared" si="11"/>
        <v>2063.4009811059359</v>
      </c>
      <c r="O59" s="92">
        <f t="shared" si="11"/>
        <v>2561.5607840298285</v>
      </c>
      <c r="P59" s="92">
        <f t="shared" si="11"/>
        <v>3134.4042805638192</v>
      </c>
      <c r="Q59" s="92">
        <f t="shared" si="11"/>
        <v>3783.9633992079093</v>
      </c>
      <c r="R59" s="92">
        <f t="shared" si="11"/>
        <v>4514.0335512556676</v>
      </c>
      <c r="S59" s="92">
        <f t="shared" si="11"/>
        <v>5330.1000942401897</v>
      </c>
      <c r="T59" s="92">
        <f t="shared" si="11"/>
        <v>6239.3065669175176</v>
      </c>
      <c r="U59" s="92">
        <f t="shared" si="11"/>
        <v>7250.4609387640776</v>
      </c>
      <c r="V59" s="92">
        <f t="shared" si="11"/>
        <v>8374.0771703556766</v>
      </c>
      <c r="W59" s="92">
        <f t="shared" si="11"/>
        <v>9622.4503040049512</v>
      </c>
      <c r="X59" s="92">
        <f t="shared" si="11"/>
        <v>11009.76412475536</v>
      </c>
      <c r="Y59" s="92">
        <f t="shared" si="11"/>
        <v>12552.231174285384</v>
      </c>
      <c r="Z59" s="92">
        <f t="shared" si="11"/>
        <v>14268.265585194484</v>
      </c>
    </row>
    <row r="60" spans="2:26" ht="15" customHeight="1" x14ac:dyDescent="0.2">
      <c r="B60" s="79" t="s">
        <v>296</v>
      </c>
      <c r="C60" s="83">
        <f>C56*Допущения!$C$27+C57*Допущения!$C$28+C52*$D$16+C58*Допущения!$C$46</f>
        <v>1514</v>
      </c>
      <c r="D60" s="83">
        <f>D56*Допущения!$C$27+D57*Допущения!$C$28+D52*$D$16+D58*Допущения!$C$46</f>
        <v>3112.3919999999998</v>
      </c>
      <c r="E60" s="83">
        <f>E56*Допущения!$C$27+E57*Допущения!$C$28+E52*$D$16+E58*Допущения!$C$46</f>
        <v>5499.8290399999996</v>
      </c>
      <c r="F60" s="83">
        <f>F56*Допущения!$C$27+F57*Допущения!$C$28+F52*$D$16+F58*Допущения!$C$46</f>
        <v>8825.540656799998</v>
      </c>
      <c r="G60" s="83">
        <f>G56*Допущения!$C$27+G57*Допущения!$C$28+G52*$D$16+G58*Допущения!$C$46</f>
        <v>13300.913724055998</v>
      </c>
      <c r="H60" s="83">
        <f>H56*Допущения!$C$27+H57*Допущения!$C$28+H52*$D$16+H58*Допущения!$C$46</f>
        <v>19214.99596368552</v>
      </c>
      <c r="I60" s="83">
        <f>I56*Допущения!$C$27+I57*Допущения!$C$28+I52*$D$16+I58*Допущения!$C$46</f>
        <v>26531.925247474494</v>
      </c>
      <c r="J60" s="83">
        <f>J56*Допущения!$C$27+J57*Допущения!$C$28+J52*$D$16+J58*Допущения!$C$46</f>
        <v>35382.340262448408</v>
      </c>
      <c r="K60" s="83">
        <f>K56*Допущения!$C$27+K57*Допущения!$C$28+K52*$D$16+K58*Допущения!$C$46</f>
        <v>45945.733300000364</v>
      </c>
      <c r="L60" s="83">
        <f>L56*Допущения!$C$27+L57*Допущения!$C$28+L52*$D$16+L58*Допущения!$C$46</f>
        <v>58454.593165824612</v>
      </c>
      <c r="M60" s="83">
        <f>M56*Допущения!$C$27+M57*Допущения!$C$28+M52*$D$16+M58*Допущения!$C$46</f>
        <v>73200.110570942445</v>
      </c>
      <c r="N60" s="83">
        <f>N56*Допущения!$C$27+N57*Допущения!$C$28+N52*$D$16+N58*Допущения!$C$46</f>
        <v>90539.586377234402</v>
      </c>
      <c r="O60" s="83">
        <f>O56*Допущения!$C$27+O57*Допущения!$C$28+O52*$D$16+O58*Допущения!$C$46</f>
        <v>110334.40687591939</v>
      </c>
      <c r="P60" s="83">
        <f>P56*Допущения!$C$27+P57*Допущения!$C$28+P52*$D$16+P58*Допущения!$C$46</f>
        <v>132690.67298120839</v>
      </c>
      <c r="Q60" s="83">
        <f>Q56*Допущения!$C$27+Q57*Допущения!$C$28+Q52*$D$16+Q58*Допущения!$C$46</f>
        <v>157768.1848789088</v>
      </c>
      <c r="R60" s="83">
        <f>R56*Допущения!$C$27+R57*Допущения!$C$28+R52*$D$16+R58*Допущения!$C$46</f>
        <v>185779.26196299912</v>
      </c>
      <c r="S60" s="83">
        <f>S56*Допущения!$C$27+S57*Допущения!$C$28+S52*$D$16+S58*Допущения!$C$46</f>
        <v>216988.76732197791</v>
      </c>
      <c r="T60" s="83">
        <f>T56*Допущения!$C$27+T57*Допущения!$C$28+T52*$D$16+T58*Допущения!$C$46</f>
        <v>251715.24860184762</v>
      </c>
      <c r="U60" s="83">
        <f>U56*Допущения!$C$27+U57*Допущения!$C$28+U52*$D$16+U58*Допущения!$C$46</f>
        <v>290333.13635714806</v>
      </c>
      <c r="V60" s="83">
        <f>V56*Допущения!$C$27+V57*Допущения!$C$28+V52*$D$16+V58*Допущения!$C$46</f>
        <v>333275.96699913492</v>
      </c>
      <c r="W60" s="83">
        <f>W56*Допущения!$C$27+W57*Допущения!$C$28+W52*$D$16+W58*Допущения!$C$46</f>
        <v>381040.62092465657</v>
      </c>
      <c r="X60" s="83">
        <f>X56*Допущения!$C$27+X57*Допущения!$C$28+X52*$D$16+X58*Допущения!$C$46</f>
        <v>434192.58801876853</v>
      </c>
      <c r="Y60" s="83">
        <f>Y56*Допущения!$C$27+Y57*Допущения!$C$28+Y52*$D$16+Y58*Допущения!$C$46</f>
        <v>493372.29304238444</v>
      </c>
      <c r="Z60" s="83">
        <f>Z56*Допущения!$C$27+Z57*Допущения!$C$28+Z52*$D$16+Z58*Допущения!$C$46</f>
        <v>559302.53295015497</v>
      </c>
    </row>
    <row r="61" spans="2:26" ht="15" customHeight="1" x14ac:dyDescent="0.2">
      <c r="B61" s="79" t="s">
        <v>297</v>
      </c>
      <c r="C61" s="83">
        <f>C52*(Допущения!$C$6/1000000)*(Допущения!$C$10*Допущения!$C$15*(1-$D$15*Допущения!$C$13)+Допущения!$C$11*Допущения!$C$16)+C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C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C58*Допущения!$C$48+C59*Допущения!$C$49+(C56*Допущения!$C$27+C57*Допущения!$C$28)*Допущения!$C$50+C51*$D$17</f>
        <v>1976.056</v>
      </c>
      <c r="D61" s="83">
        <f>D52*(Допущения!$C$6/1000000)*(Допущения!$C$10*Допущения!$C$15*(1-$D$15*Допущения!$C$13)+Допущения!$C$11*Допущения!$C$16)+D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D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D58*Допущения!$C$48+D59*Допущения!$C$49+(D56*Допущения!$C$27+D57*Допущения!$C$28)*Допущения!$C$50+D51*$D$17</f>
        <v>2914.8913200000002</v>
      </c>
      <c r="E61" s="83">
        <f>E52*(Допущения!$C$6/1000000)*(Допущения!$C$10*Допущения!$C$15*(1-$D$15*Допущения!$C$13)+Допущения!$C$11*Допущения!$C$16)+E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E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E58*Допущения!$C$48+E59*Допущения!$C$49+(E56*Допущения!$C$27+E57*Допущения!$C$28)*Допущения!$C$50+E51*$D$17</f>
        <v>4298.9065843999997</v>
      </c>
      <c r="F61" s="83">
        <f>F52*(Допущения!$C$6/1000000)*(Допущения!$C$10*Допущения!$C$15*(1-$D$15*Допущения!$C$13)+Допущения!$C$11*Допущения!$C$16)+F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F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F58*Допущения!$C$48+F59*Допущения!$C$49+(F56*Допущения!$C$27+F57*Допущения!$C$28)*Допущения!$C$50+F51*$D$17</f>
        <v>6218.8531499479996</v>
      </c>
      <c r="G61" s="83">
        <f>G52*(Допущения!$C$6/1000000)*(Допущения!$C$10*Допущения!$C$15*(1-$D$15*Допущения!$C$13)+Допущения!$C$11*Допущения!$C$16)+G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G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G58*Допущения!$C$48+G59*Допущения!$C$49+(G56*Допущения!$C$27+G57*Допущения!$C$28)*Допущения!$C$50+G51*$D$17</f>
        <v>8801.0451598011605</v>
      </c>
      <c r="H61" s="83">
        <f>H52*(Допущения!$C$6/1000000)*(Допущения!$C$10*Допущения!$C$15*(1-$D$15*Допущения!$C$13)+Допущения!$C$11*Допущения!$C$16)+H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H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H58*Допущения!$C$48+H59*Допущения!$C$49+(H56*Допущения!$C$27+H57*Допущения!$C$28)*Допущения!$C$50+H51*$D$17</f>
        <v>12216.533114229736</v>
      </c>
      <c r="I61" s="83">
        <f>I52*(Допущения!$C$6/1000000)*(Допущения!$C$10*Допущения!$C$15*(1-$D$15*Допущения!$C$13)+Допущения!$C$11*Допущения!$C$16)+I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I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I58*Допущения!$C$48+I59*Допущения!$C$49+(I56*Допущения!$C$27+I57*Допущения!$C$28)*Допущения!$C$50+I51*$D$17</f>
        <v>15923.554648121974</v>
      </c>
      <c r="J61" s="83">
        <f>J52*(Допущения!$C$6/1000000)*(Допущения!$C$10*Допущения!$C$15*(1-$D$15*Допущения!$C$13)+Допущения!$C$11*Допущения!$C$16)+J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J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J58*Допущения!$C$48+J59*Допущения!$C$49+(J56*Допущения!$C$27+J57*Допущения!$C$28)*Допущения!$C$50+J51*$D$17</f>
        <v>20428.45521127832</v>
      </c>
      <c r="K61" s="83">
        <f>K52*(Допущения!$C$6/1000000)*(Допущения!$C$10*Допущения!$C$15*(1-$D$15*Допущения!$C$13)+Допущения!$C$11*Допущения!$C$16)+K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K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K58*Допущения!$C$48+K59*Допущения!$C$49+(K56*Допущения!$C$27+K57*Допущения!$C$28)*Допущения!$C$50+K51*$D$17</f>
        <v>25826.816293758668</v>
      </c>
      <c r="L61" s="83">
        <f>L52*(Допущения!$C$6/1000000)*(Допущения!$C$10*Допущения!$C$15*(1-$D$15*Допущения!$C$13)+Допущения!$C$11*Допущения!$C$16)+L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L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L58*Допущения!$C$48+L59*Допущения!$C$49+(L56*Допущения!$C$27+L57*Допущения!$C$28)*Допущения!$C$50+L51*$D$17</f>
        <v>32241.400547908543</v>
      </c>
      <c r="M61" s="83">
        <f>M52*(Допущения!$C$6/1000000)*(Допущения!$C$10*Допущения!$C$15*(1-$D$15*Допущения!$C$13)+Допущения!$C$11*Допущения!$C$16)+M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M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M58*Допущения!$C$48+M59*Допущения!$C$49+(M56*Допущения!$C$27+M57*Допущения!$C$28)*Допущения!$C$50+M51*$D$17</f>
        <v>39825.216389832844</v>
      </c>
      <c r="N61" s="83">
        <f>N52*(Допущения!$C$6/1000000)*(Допущения!$C$10*Допущения!$C$15*(1-$D$15*Допущения!$C$13)+Допущения!$C$11*Допущения!$C$16)+N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N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N58*Допущения!$C$48+N59*Допущения!$C$49+(N56*Допущения!$C$27+N57*Допущения!$C$28)*Допущения!$C$50+N51*$D$17</f>
        <v>48765.45490994073</v>
      </c>
      <c r="O61" s="83">
        <f>O52*(Допущения!$C$6/1000000)*(Допущения!$C$10*Допущения!$C$15*(1-$D$15*Допущения!$C$13)+Допущения!$C$11*Допущения!$C$16)+O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O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O58*Допущения!$C$48+O59*Допущения!$C$49+(O56*Допущения!$C$27+O57*Допущения!$C$28)*Допущения!$C$50+O51*$D$17</f>
        <v>58249.430248321274</v>
      </c>
      <c r="P61" s="83">
        <f>P52*(Допущения!$C$6/1000000)*(Допущения!$C$10*Допущения!$C$15*(1-$D$15*Допущения!$C$13)+Допущения!$C$11*Допущения!$C$16)+P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P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P58*Допущения!$C$48+P59*Допущения!$C$49+(P56*Допущения!$C$27+P57*Допущения!$C$28)*Допущения!$C$50+P51*$D$17</f>
        <v>69012.786011218937</v>
      </c>
      <c r="Q61" s="83">
        <f>Q52*(Допущения!$C$6/1000000)*(Допущения!$C$10*Допущения!$C$15*(1-$D$15*Допущения!$C$13)+Допущения!$C$11*Допущения!$C$16)+Q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Q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Q58*Допущения!$C$48+Q59*Допущения!$C$49+(Q56*Допущения!$C$27+Q57*Допущения!$C$28)*Допущения!$C$50+Q51*$D$17</f>
        <v>81134.731011194002</v>
      </c>
      <c r="R61" s="83">
        <f>R52*(Допущения!$C$6/1000000)*(Допущения!$C$10*Допущения!$C$15*(1-$D$15*Допущения!$C$13)+Допущения!$C$11*Допущения!$C$16)+R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R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R58*Допущения!$C$48+R59*Допущения!$C$49+(R56*Допущения!$C$27+R57*Допущения!$C$28)*Допущения!$C$50+R51*$D$17</f>
        <v>94720.116309399062</v>
      </c>
      <c r="S61" s="83">
        <f>S52*(Допущения!$C$6/1000000)*(Допущения!$C$10*Допущения!$C$15*(1-$D$15*Допущения!$C$13)+Допущения!$C$11*Допущения!$C$16)+S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S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S58*Допущения!$C$48+S59*Допущения!$C$49+(S56*Допущения!$C$27+S57*Допущения!$C$28)*Допущения!$C$50+S51*$D$17</f>
        <v>109899.51471126519</v>
      </c>
      <c r="T61" s="83">
        <f>T52*(Допущения!$C$6/1000000)*(Допущения!$C$10*Допущения!$C$15*(1-$D$15*Допущения!$C$13)+Допущения!$C$11*Допущения!$C$16)+T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T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T58*Допущения!$C$48+T59*Допущения!$C$49+(T56*Допущения!$C$27+T57*Допущения!$C$28)*Допущения!$C$50+T51*$D$17</f>
        <v>126829.83842867668</v>
      </c>
      <c r="U61" s="83">
        <f>U52*(Допущения!$C$6/1000000)*(Допущения!$C$10*Допущения!$C$15*(1-$D$15*Допущения!$C$13)+Допущения!$C$11*Допущения!$C$16)+U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U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U58*Допущения!$C$48+U59*Допущения!$C$49+(U56*Допущения!$C$27+U57*Допущения!$C$28)*Допущения!$C$50+U51*$D$17</f>
        <v>145695.4681639068</v>
      </c>
      <c r="V61" s="83">
        <f>V52*(Допущения!$C$6/1000000)*(Допущения!$C$10*Допущения!$C$15*(1-$D$15*Допущения!$C$13)+Допущения!$C$11*Допущения!$C$16)+V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V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V58*Допущения!$C$48+V59*Допущения!$C$49+(V56*Допущения!$C$27+V57*Допущения!$C$28)*Допущения!$C$50+V51*$D$17</f>
        <v>166709.8792998156</v>
      </c>
      <c r="W61" s="83">
        <f>W52*(Допущения!$C$6/1000000)*(Допущения!$C$10*Допущения!$C$15*(1-$D$15*Допущения!$C$13)+Допущения!$C$11*Допущения!$C$16)+W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W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W58*Допущения!$C$48+W59*Допущения!$C$49+(W56*Допущения!$C$27+W57*Допущения!$C$28)*Допущения!$C$50+W51*$D$17</f>
        <v>190117.76213408035</v>
      </c>
      <c r="X61" s="83">
        <f>X52*(Допущения!$C$6/1000000)*(Допущения!$C$10*Допущения!$C$15*(1-$D$15*Допущения!$C$13)+Допущения!$C$11*Допущения!$C$16)+X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X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X58*Допущения!$C$48+X59*Допущения!$C$49+(X56*Допущения!$C$27+X57*Допущения!$C$28)*Допущения!$C$50+X51*$D$17</f>
        <v>216197.64348558959</v>
      </c>
      <c r="Y61" s="83">
        <f>Y52*(Допущения!$C$6/1000000)*(Допущения!$C$10*Допущения!$C$15*(1-$D$15*Допущения!$C$13)+Допущения!$C$11*Допущения!$C$16)+Y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Y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Y58*Допущения!$C$48+Y59*Допущения!$C$49+(Y56*Допущения!$C$27+Y57*Допущения!$C$28)*Допущения!$C$50+Y51*$D$17</f>
        <v>245265.02680195327</v>
      </c>
      <c r="Z61" s="83">
        <f>Z52*(Допущения!$C$6/1000000)*(Допущения!$C$10*Допущения!$C$15*(1-$D$15*Допущения!$C$13)+Допущения!$C$11*Допущения!$C$16)+Z56*(Допущения!$C$7/1000000)*(Допущения!$C$22*(Допущения!$C$10*Допущения!$C$17*(1-$D$15*Допущения!$C$13)+Допущения!$C$11*Допущения!$C$18)+Допущения!$C$23*(Допущения!$C$10*Допущения!$C$19*(1-$D$15*Допущения!$C$13)+Допущения!$C$11*Допущения!$C$20))+Z57*(Допущения!$C$8/1000000)*(Допущения!$C$24*(Допущения!$C$10*Допущения!$C$17*(1-$D$15*Допущения!$C$13)+Допущения!$C$11*Допущения!$C$18)+Допущения!$C$25*(Допущения!$C$10*Допущения!$C$19*(1-$D$15*Допущения!$C$13)+Допущения!$C$11*Допущения!$C$20))+Z58*Допущения!$C$48+Z59*Допущения!$C$49+(Z56*Допущения!$C$27+Z57*Допущения!$C$28)*Допущения!$C$50+Z51*$D$17</f>
        <v>277676.07735039247</v>
      </c>
    </row>
    <row r="62" spans="2:26" ht="15" customHeight="1" x14ac:dyDescent="0.2">
      <c r="B62" s="84" t="s">
        <v>298</v>
      </c>
      <c r="C62" s="85">
        <f t="shared" ref="C62:Z62" si="12">C60-C61</f>
        <v>-462.05600000000004</v>
      </c>
      <c r="D62" s="85">
        <f t="shared" si="12"/>
        <v>197.50067999999965</v>
      </c>
      <c r="E62" s="85">
        <f t="shared" si="12"/>
        <v>1200.9224555999999</v>
      </c>
      <c r="F62" s="85">
        <f t="shared" si="12"/>
        <v>2606.6875068519985</v>
      </c>
      <c r="G62" s="85">
        <f t="shared" si="12"/>
        <v>4499.8685642548371</v>
      </c>
      <c r="H62" s="85">
        <f t="shared" si="12"/>
        <v>6998.4628494557837</v>
      </c>
      <c r="I62" s="85">
        <f t="shared" si="12"/>
        <v>10608.37059935252</v>
      </c>
      <c r="J62" s="85">
        <f t="shared" si="12"/>
        <v>14953.885051170088</v>
      </c>
      <c r="K62" s="85">
        <f t="shared" si="12"/>
        <v>20118.917006241696</v>
      </c>
      <c r="L62" s="85">
        <f t="shared" si="12"/>
        <v>26213.192617916069</v>
      </c>
      <c r="M62" s="85">
        <f t="shared" si="12"/>
        <v>33374.894181109601</v>
      </c>
      <c r="N62" s="85">
        <f t="shared" si="12"/>
        <v>41774.131467293671</v>
      </c>
      <c r="O62" s="85">
        <f t="shared" si="12"/>
        <v>52084.976627598116</v>
      </c>
      <c r="P62" s="85">
        <f t="shared" si="12"/>
        <v>63677.886969989457</v>
      </c>
      <c r="Q62" s="85">
        <f t="shared" si="12"/>
        <v>76633.453867714794</v>
      </c>
      <c r="R62" s="85">
        <f t="shared" si="12"/>
        <v>91059.145653600062</v>
      </c>
      <c r="S62" s="85">
        <f t="shared" si="12"/>
        <v>107089.25261071272</v>
      </c>
      <c r="T62" s="85">
        <f t="shared" si="12"/>
        <v>124885.41017317094</v>
      </c>
      <c r="U62" s="85">
        <f t="shared" si="12"/>
        <v>144637.66819324126</v>
      </c>
      <c r="V62" s="85">
        <f t="shared" si="12"/>
        <v>166566.08769931932</v>
      </c>
      <c r="W62" s="85">
        <f t="shared" si="12"/>
        <v>190922.85879057623</v>
      </c>
      <c r="X62" s="85">
        <f t="shared" si="12"/>
        <v>217994.94453317893</v>
      </c>
      <c r="Y62" s="85">
        <f t="shared" si="12"/>
        <v>248107.26624043117</v>
      </c>
      <c r="Z62" s="85">
        <f t="shared" si="12"/>
        <v>281626.4555997625</v>
      </c>
    </row>
    <row r="63" spans="2:26" ht="15" customHeight="1" x14ac:dyDescent="0.2">
      <c r="B63" s="91" t="s">
        <v>299</v>
      </c>
      <c r="C63" s="93">
        <f>C62</f>
        <v>-462.05600000000004</v>
      </c>
      <c r="D63" s="93">
        <f t="shared" ref="D63:Z63" si="13">C63+D62</f>
        <v>-264.55532000000039</v>
      </c>
      <c r="E63" s="93">
        <f t="shared" si="13"/>
        <v>936.36713559999953</v>
      </c>
      <c r="F63" s="93">
        <f t="shared" si="13"/>
        <v>3543.054642451998</v>
      </c>
      <c r="G63" s="93">
        <f t="shared" si="13"/>
        <v>8042.9232067068351</v>
      </c>
      <c r="H63" s="93">
        <f t="shared" si="13"/>
        <v>15041.386056162619</v>
      </c>
      <c r="I63" s="93">
        <f t="shared" si="13"/>
        <v>25649.756655515139</v>
      </c>
      <c r="J63" s="93">
        <f t="shared" si="13"/>
        <v>40603.64170668523</v>
      </c>
      <c r="K63" s="93">
        <f t="shared" si="13"/>
        <v>60722.558712926926</v>
      </c>
      <c r="L63" s="93">
        <f t="shared" si="13"/>
        <v>86935.751330842992</v>
      </c>
      <c r="M63" s="93">
        <f t="shared" si="13"/>
        <v>120310.64551195259</v>
      </c>
      <c r="N63" s="93">
        <f t="shared" si="13"/>
        <v>162084.77697924626</v>
      </c>
      <c r="O63" s="93">
        <f t="shared" si="13"/>
        <v>214169.75360684437</v>
      </c>
      <c r="P63" s="93">
        <f t="shared" si="13"/>
        <v>277847.64057683386</v>
      </c>
      <c r="Q63" s="93">
        <f t="shared" si="13"/>
        <v>354481.09444454865</v>
      </c>
      <c r="R63" s="93">
        <f t="shared" si="13"/>
        <v>445540.2400981487</v>
      </c>
      <c r="S63" s="93">
        <f t="shared" si="13"/>
        <v>552629.49270886136</v>
      </c>
      <c r="T63" s="93">
        <f t="shared" si="13"/>
        <v>677514.90288203233</v>
      </c>
      <c r="U63" s="93">
        <f t="shared" si="13"/>
        <v>822152.57107527356</v>
      </c>
      <c r="V63" s="93">
        <f t="shared" si="13"/>
        <v>988718.65877459291</v>
      </c>
      <c r="W63" s="93">
        <f t="shared" si="13"/>
        <v>1179641.5175651691</v>
      </c>
      <c r="X63" s="93">
        <f t="shared" si="13"/>
        <v>1397636.462098348</v>
      </c>
      <c r="Y63" s="93">
        <f t="shared" si="13"/>
        <v>1645743.7283387792</v>
      </c>
      <c r="Z63" s="93">
        <f t="shared" si="13"/>
        <v>1927370.1839385417</v>
      </c>
    </row>
    <row r="66" spans="2:26" ht="15" customHeight="1" x14ac:dyDescent="0.2">
      <c r="B66" s="94" t="s">
        <v>301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2:26" ht="15" customHeight="1" x14ac:dyDescent="0.2">
      <c r="B67" s="96" t="s">
        <v>287</v>
      </c>
      <c r="C67" s="97" t="s">
        <v>183</v>
      </c>
      <c r="D67" s="97" t="s">
        <v>184</v>
      </c>
      <c r="E67" s="97" t="s">
        <v>185</v>
      </c>
      <c r="F67" s="97" t="s">
        <v>186</v>
      </c>
      <c r="G67" s="97" t="s">
        <v>187</v>
      </c>
      <c r="H67" s="97" t="s">
        <v>188</v>
      </c>
      <c r="I67" s="97" t="s">
        <v>189</v>
      </c>
      <c r="J67" s="97" t="s">
        <v>190</v>
      </c>
      <c r="K67" s="97" t="s">
        <v>191</v>
      </c>
      <c r="L67" s="97" t="s">
        <v>192</v>
      </c>
      <c r="M67" s="97" t="s">
        <v>193</v>
      </c>
      <c r="N67" s="97" t="s">
        <v>194</v>
      </c>
      <c r="O67" s="97" t="s">
        <v>195</v>
      </c>
      <c r="P67" s="97" t="s">
        <v>196</v>
      </c>
      <c r="Q67" s="97" t="s">
        <v>197</v>
      </c>
      <c r="R67" s="97" t="s">
        <v>198</v>
      </c>
      <c r="S67" s="97" t="s">
        <v>199</v>
      </c>
      <c r="T67" s="97" t="s">
        <v>200</v>
      </c>
      <c r="U67" s="97" t="s">
        <v>201</v>
      </c>
      <c r="V67" s="97" t="s">
        <v>202</v>
      </c>
      <c r="W67" s="97" t="s">
        <v>203</v>
      </c>
      <c r="X67" s="97" t="s">
        <v>204</v>
      </c>
      <c r="Y67" s="97" t="s">
        <v>205</v>
      </c>
      <c r="Z67" s="97" t="s">
        <v>206</v>
      </c>
    </row>
    <row r="68" spans="2:26" ht="15" customHeight="1" x14ac:dyDescent="0.2">
      <c r="B68" s="77" t="s">
        <v>288</v>
      </c>
      <c r="C68" s="78">
        <f>Допущения!$C$52</f>
        <v>1000</v>
      </c>
      <c r="D68" s="78">
        <f>C68*(1+IF(2&lt;=6,$E$11,IF(2&lt;=12,$E$12,$E$13)))</f>
        <v>1400</v>
      </c>
      <c r="E68" s="78">
        <f>D68*(1+IF(3&lt;=6,$E$11,IF(3&lt;=12,$E$12,$E$13)))</f>
        <v>1959.9999999999998</v>
      </c>
      <c r="F68" s="78">
        <f>E68*(1+IF(4&lt;=6,$E$11,IF(4&lt;=12,$E$12,$E$13)))</f>
        <v>2743.9999999999995</v>
      </c>
      <c r="G68" s="78">
        <f>F68*(1+IF(5&lt;=6,$E$11,IF(5&lt;=12,$E$12,$E$13)))</f>
        <v>3841.599999999999</v>
      </c>
      <c r="H68" s="78">
        <f>G68*(1+IF(6&lt;=6,$E$11,IF(6&lt;=12,$E$12,$E$13)))</f>
        <v>5378.239999999998</v>
      </c>
      <c r="I68" s="78">
        <f>H68*(1+IF(7&lt;=6,$E$11,IF(7&lt;=12,$E$12,$E$13)))</f>
        <v>6561.4527999999973</v>
      </c>
      <c r="J68" s="78">
        <f>I68*(1+IF(8&lt;=6,$E$11,IF(8&lt;=12,$E$12,$E$13)))</f>
        <v>8004.9724159999969</v>
      </c>
      <c r="K68" s="78">
        <f>J68*(1+IF(9&lt;=6,$E$11,IF(9&lt;=12,$E$12,$E$13)))</f>
        <v>9766.0663475199963</v>
      </c>
      <c r="L68" s="78">
        <f>K68*(1+IF(10&lt;=6,$E$11,IF(10&lt;=12,$E$12,$E$13)))</f>
        <v>11914.600943974396</v>
      </c>
      <c r="M68" s="78">
        <f>L68*(1+IF(11&lt;=6,$E$11,IF(11&lt;=12,$E$12,$E$13)))</f>
        <v>14535.813151648763</v>
      </c>
      <c r="N68" s="78">
        <f>M68*(1+IF(12&lt;=6,$E$11,IF(12&lt;=12,$E$12,$E$13)))</f>
        <v>17733.692045011489</v>
      </c>
      <c r="O68" s="78">
        <f>N68*(1+IF(13&lt;=6,$E$11,IF(13&lt;=12,$E$12,$E$13)))</f>
        <v>20393.745851763211</v>
      </c>
      <c r="P68" s="78">
        <f>O68*(1+IF(14&lt;=6,$E$11,IF(14&lt;=12,$E$12,$E$13)))</f>
        <v>23452.807729527693</v>
      </c>
      <c r="Q68" s="78">
        <f>P68*(1+IF(15&lt;=6,$E$11,IF(15&lt;=12,$E$12,$E$13)))</f>
        <v>26970.728888956844</v>
      </c>
      <c r="R68" s="78">
        <f>Q68*(1+IF(16&lt;=6,$E$11,IF(16&lt;=12,$E$12,$E$13)))</f>
        <v>31016.338222300368</v>
      </c>
      <c r="S68" s="78">
        <f>R68*(1+IF(17&lt;=6,$E$11,IF(17&lt;=12,$E$12,$E$13)))</f>
        <v>35668.788955645417</v>
      </c>
      <c r="T68" s="78">
        <f>S68*(1+IF(18&lt;=6,$E$11,IF(18&lt;=12,$E$12,$E$13)))</f>
        <v>41019.107298992225</v>
      </c>
      <c r="U68" s="78">
        <f>T68*(1+IF(19&lt;=6,$E$11,IF(19&lt;=12,$E$12,$E$13)))</f>
        <v>47171.973393841057</v>
      </c>
      <c r="V68" s="78">
        <f>U68*(1+IF(20&lt;=6,$E$11,IF(20&lt;=12,$E$12,$E$13)))</f>
        <v>54247.769402917213</v>
      </c>
      <c r="W68" s="78">
        <f>V68*(1+IF(21&lt;=6,$E$11,IF(21&lt;=12,$E$12,$E$13)))</f>
        <v>62384.93481335479</v>
      </c>
      <c r="X68" s="78">
        <f>W68*(1+IF(22&lt;=6,$E$11,IF(22&lt;=12,$E$12,$E$13)))</f>
        <v>71742.675035357999</v>
      </c>
      <c r="Y68" s="78">
        <f>X68*(1+IF(23&lt;=6,$E$11,IF(23&lt;=12,$E$12,$E$13)))</f>
        <v>82504.076290661687</v>
      </c>
      <c r="Z68" s="78">
        <f>Y68*(1+IF(24&lt;=6,$E$11,IF(24&lt;=12,$E$12,$E$13)))</f>
        <v>94879.687734260937</v>
      </c>
    </row>
    <row r="69" spans="2:26" ht="15" customHeight="1" x14ac:dyDescent="0.2">
      <c r="B69" s="79" t="s">
        <v>289</v>
      </c>
      <c r="C69" s="80">
        <f>C68</f>
        <v>1000</v>
      </c>
      <c r="D69" s="80">
        <f>C69*(1-Допущения!$C$34-$E$7)+D68</f>
        <v>2215</v>
      </c>
      <c r="E69" s="80">
        <f>D69*(1-Допущения!$C$34-$E$7)+E68</f>
        <v>3765.2249999999995</v>
      </c>
      <c r="F69" s="80">
        <f>E69*(1-Допущения!$C$34-$E$7)+F68</f>
        <v>5812.6583749999991</v>
      </c>
      <c r="G69" s="80">
        <f>F69*(1-Допущения!$C$34-$E$7)+G68</f>
        <v>8578.9165756249986</v>
      </c>
      <c r="H69" s="80">
        <f>G69*(1-Допущения!$C$34-$E$7)+H68</f>
        <v>12370.057009134372</v>
      </c>
      <c r="I69" s="80">
        <f>H69*(1-Допущения!$C$34-$E$7)+I68</f>
        <v>16643.049262444511</v>
      </c>
      <c r="J69" s="80">
        <f>I69*(1-Допущения!$C$34-$E$7)+J68</f>
        <v>21569.057564892271</v>
      </c>
      <c r="K69" s="80">
        <f>J69*(1-Допущения!$C$34-$E$7)+K68</f>
        <v>27344.848262907195</v>
      </c>
      <c r="L69" s="80">
        <f>K69*(1-Допущения!$C$34-$E$7)+L68</f>
        <v>34200.652278243761</v>
      </c>
      <c r="M69" s="80">
        <f>L69*(1-Допущения!$C$34-$E$7)+M68</f>
        <v>42409.344758417428</v>
      </c>
      <c r="N69" s="80">
        <f>M69*(1-Допущения!$C$34-$E$7)+N68</f>
        <v>52297.308023121688</v>
      </c>
      <c r="O69" s="80">
        <f>N69*(1-Допущения!$C$34-$E$7)+O68</f>
        <v>63016.051890607385</v>
      </c>
      <c r="P69" s="80">
        <f>O69*(1-Допущения!$C$34-$E$7)+P68</f>
        <v>74810.89002037271</v>
      </c>
      <c r="Q69" s="80">
        <f>P69*(1-Допущения!$C$34-$E$7)+Q68</f>
        <v>87941.604255560596</v>
      </c>
      <c r="R69" s="80">
        <f>Q69*(1-Допущения!$C$34-$E$7)+R68</f>
        <v>102688.74569058225</v>
      </c>
      <c r="S69" s="80">
        <f>R69*(1-Допущения!$C$34-$E$7)+S68</f>
        <v>119360.11669346994</v>
      </c>
      <c r="T69" s="80">
        <f>S69*(1-Допущения!$C$34-$E$7)+T68</f>
        <v>138297.6024041702</v>
      </c>
      <c r="U69" s="80">
        <f>T69*(1-Допущения!$C$34-$E$7)+U68</f>
        <v>159884.51935323977</v>
      </c>
      <c r="V69" s="80">
        <f>U69*(1-Допущения!$C$34-$E$7)+V68</f>
        <v>184553.65267580762</v>
      </c>
      <c r="W69" s="80">
        <f>V69*(1-Допущения!$C$34-$E$7)+W68</f>
        <v>212796.16174413799</v>
      </c>
      <c r="X69" s="80">
        <f>W69*(1-Допущения!$C$34-$E$7)+X68</f>
        <v>245171.54685683045</v>
      </c>
      <c r="Y69" s="80">
        <f>X69*(1-Допущения!$C$34-$E$7)+Y68</f>
        <v>282318.88697897847</v>
      </c>
      <c r="Z69" s="80">
        <f>Y69*(1-Допущения!$C$34-$E$7)+Z68</f>
        <v>324969.58062212839</v>
      </c>
    </row>
    <row r="70" spans="2:26" ht="15" customHeight="1" x14ac:dyDescent="0.2">
      <c r="B70" s="77" t="s">
        <v>290</v>
      </c>
      <c r="C70" s="78">
        <f>C69*$E$7</f>
        <v>35</v>
      </c>
      <c r="D70" s="78">
        <f t="shared" ref="D70:Z70" si="14">C69*$E$7</f>
        <v>35</v>
      </c>
      <c r="E70" s="78">
        <f t="shared" si="14"/>
        <v>77.525000000000006</v>
      </c>
      <c r="F70" s="78">
        <f t="shared" si="14"/>
        <v>131.78287499999999</v>
      </c>
      <c r="G70" s="78">
        <f t="shared" si="14"/>
        <v>203.44304312499997</v>
      </c>
      <c r="H70" s="78">
        <f t="shared" si="14"/>
        <v>300.26208014687501</v>
      </c>
      <c r="I70" s="78">
        <f t="shared" si="14"/>
        <v>432.95199531970309</v>
      </c>
      <c r="J70" s="78">
        <f t="shared" si="14"/>
        <v>582.50672418555791</v>
      </c>
      <c r="K70" s="78">
        <f t="shared" si="14"/>
        <v>754.91701477122956</v>
      </c>
      <c r="L70" s="78">
        <f t="shared" si="14"/>
        <v>957.06968920175188</v>
      </c>
      <c r="M70" s="78">
        <f t="shared" si="14"/>
        <v>1197.0228297385318</v>
      </c>
      <c r="N70" s="78">
        <f t="shared" si="14"/>
        <v>1484.32706654461</v>
      </c>
      <c r="O70" s="78">
        <f t="shared" si="14"/>
        <v>1830.4057808092593</v>
      </c>
      <c r="P70" s="78">
        <f t="shared" si="14"/>
        <v>2205.5618161712587</v>
      </c>
      <c r="Q70" s="78">
        <f t="shared" si="14"/>
        <v>2618.3811507130449</v>
      </c>
      <c r="R70" s="78">
        <f t="shared" si="14"/>
        <v>3077.956148944621</v>
      </c>
      <c r="S70" s="78">
        <f t="shared" si="14"/>
        <v>3594.1060991703789</v>
      </c>
      <c r="T70" s="78">
        <f t="shared" si="14"/>
        <v>4177.6040842714483</v>
      </c>
      <c r="U70" s="78">
        <f t="shared" si="14"/>
        <v>4840.4160841459579</v>
      </c>
      <c r="V70" s="78">
        <f t="shared" si="14"/>
        <v>5595.9581773633927</v>
      </c>
      <c r="W70" s="78">
        <f t="shared" si="14"/>
        <v>6459.3778436532675</v>
      </c>
      <c r="X70" s="78">
        <f t="shared" si="14"/>
        <v>7447.8656610448306</v>
      </c>
      <c r="Y70" s="78">
        <f t="shared" si="14"/>
        <v>8581.004139989067</v>
      </c>
      <c r="Z70" s="78">
        <f t="shared" si="14"/>
        <v>9881.1610442642468</v>
      </c>
    </row>
    <row r="71" spans="2:26" ht="15" customHeight="1" x14ac:dyDescent="0.2">
      <c r="B71" s="77" t="s">
        <v>291</v>
      </c>
      <c r="C71" s="78">
        <f>C70*Допущения!$C$31</f>
        <v>31.5</v>
      </c>
      <c r="D71" s="78">
        <f>D70*Допущения!$C$31</f>
        <v>31.5</v>
      </c>
      <c r="E71" s="78">
        <f>E70*Допущения!$C$31</f>
        <v>69.772500000000008</v>
      </c>
      <c r="F71" s="78">
        <f>F70*Допущения!$C$31</f>
        <v>118.60458749999999</v>
      </c>
      <c r="G71" s="78">
        <f>G70*Допущения!$C$31</f>
        <v>183.09873881249999</v>
      </c>
      <c r="H71" s="78">
        <f>H70*Допущения!$C$31</f>
        <v>270.23587213218752</v>
      </c>
      <c r="I71" s="78">
        <f>I70*Допущения!$C$31</f>
        <v>389.65679578773279</v>
      </c>
      <c r="J71" s="78">
        <f>J70*Допущения!$C$31</f>
        <v>524.25605176700219</v>
      </c>
      <c r="K71" s="78">
        <f>K70*Допущения!$C$31</f>
        <v>679.42531329410667</v>
      </c>
      <c r="L71" s="78">
        <f>L70*Допущения!$C$31</f>
        <v>861.36272028157669</v>
      </c>
      <c r="M71" s="78">
        <f>M70*Допущения!$C$31</f>
        <v>1077.3205467646785</v>
      </c>
      <c r="N71" s="78">
        <f>N70*Допущения!$C$31</f>
        <v>1335.894359890149</v>
      </c>
      <c r="O71" s="78">
        <f>O70*Допущения!$C$31</f>
        <v>1647.3652027283335</v>
      </c>
      <c r="P71" s="78">
        <f>P70*Допущения!$C$31</f>
        <v>1985.0056345541329</v>
      </c>
      <c r="Q71" s="78">
        <f>Q70*Допущения!$C$31</f>
        <v>2356.5430356417405</v>
      </c>
      <c r="R71" s="78">
        <f>R70*Допущения!$C$31</f>
        <v>2770.1605340501587</v>
      </c>
      <c r="S71" s="78">
        <f>S70*Допущения!$C$31</f>
        <v>3234.6954892533413</v>
      </c>
      <c r="T71" s="78">
        <f>T70*Допущения!$C$31</f>
        <v>3759.8436758443036</v>
      </c>
      <c r="U71" s="78">
        <f>U70*Допущения!$C$31</f>
        <v>4356.3744757313625</v>
      </c>
      <c r="V71" s="78">
        <f>V70*Допущения!$C$31</f>
        <v>5036.3623596270536</v>
      </c>
      <c r="W71" s="78">
        <f>W70*Допущения!$C$31</f>
        <v>5813.440059287941</v>
      </c>
      <c r="X71" s="78">
        <f>X70*Допущения!$C$31</f>
        <v>6703.0790949403481</v>
      </c>
      <c r="Y71" s="78">
        <f>Y70*Допущения!$C$31</f>
        <v>7722.9037259901606</v>
      </c>
      <c r="Z71" s="78">
        <f>Z70*Допущения!$C$31</f>
        <v>8893.0449398378223</v>
      </c>
    </row>
    <row r="72" spans="2:26" ht="15" customHeight="1" x14ac:dyDescent="0.2">
      <c r="B72" s="77" t="s">
        <v>292</v>
      </c>
      <c r="C72" s="78">
        <f>C70*Допущения!$C$32</f>
        <v>3.5</v>
      </c>
      <c r="D72" s="78">
        <f>D70*Допущения!$C$32</f>
        <v>3.5</v>
      </c>
      <c r="E72" s="78">
        <f>E70*Допущения!$C$32</f>
        <v>7.7525000000000013</v>
      </c>
      <c r="F72" s="78">
        <f>F70*Допущения!$C$32</f>
        <v>13.1782875</v>
      </c>
      <c r="G72" s="78">
        <f>G70*Допущения!$C$32</f>
        <v>20.3443043125</v>
      </c>
      <c r="H72" s="78">
        <f>H70*Допущения!$C$32</f>
        <v>30.026208014687501</v>
      </c>
      <c r="I72" s="78">
        <f>I70*Допущения!$C$32</f>
        <v>43.295199531970312</v>
      </c>
      <c r="J72" s="78">
        <f>J70*Допущения!$C$32</f>
        <v>58.250672418555794</v>
      </c>
      <c r="K72" s="78">
        <f>K70*Допущения!$C$32</f>
        <v>75.491701477122959</v>
      </c>
      <c r="L72" s="78">
        <f>L70*Допущения!$C$32</f>
        <v>95.7069689201752</v>
      </c>
      <c r="M72" s="78">
        <f>M70*Допущения!$C$32</f>
        <v>119.70228297385319</v>
      </c>
      <c r="N72" s="78">
        <f>N70*Допущения!$C$32</f>
        <v>148.43270665446101</v>
      </c>
      <c r="O72" s="78">
        <f>O70*Допущения!$C$32</f>
        <v>183.04057808092594</v>
      </c>
      <c r="P72" s="78">
        <f>P70*Допущения!$C$32</f>
        <v>220.55618161712587</v>
      </c>
      <c r="Q72" s="78">
        <f>Q70*Допущения!$C$32</f>
        <v>261.83811507130451</v>
      </c>
      <c r="R72" s="78">
        <f>R70*Допущения!$C$32</f>
        <v>307.79561489446212</v>
      </c>
      <c r="S72" s="78">
        <f>S70*Допущения!$C$32</f>
        <v>359.4106099170379</v>
      </c>
      <c r="T72" s="78">
        <f>T70*Допущения!$C$32</f>
        <v>417.76040842714485</v>
      </c>
      <c r="U72" s="78">
        <f>U70*Допущения!$C$32</f>
        <v>484.04160841459583</v>
      </c>
      <c r="V72" s="78">
        <f>V70*Допущения!$C$32</f>
        <v>559.59581773633931</v>
      </c>
      <c r="W72" s="78">
        <f>W70*Допущения!$C$32</f>
        <v>645.93778436532682</v>
      </c>
      <c r="X72" s="78">
        <f>X70*Допущения!$C$32</f>
        <v>744.78656610448309</v>
      </c>
      <c r="Y72" s="78">
        <f>Y70*Допущения!$C$32</f>
        <v>858.10041399890679</v>
      </c>
      <c r="Z72" s="78">
        <f>Z70*Допущения!$C$32</f>
        <v>988.11610442642473</v>
      </c>
    </row>
    <row r="73" spans="2:26" ht="15" customHeight="1" x14ac:dyDescent="0.2">
      <c r="B73" s="79" t="s">
        <v>293</v>
      </c>
      <c r="C73" s="80">
        <f>C71</f>
        <v>31.5</v>
      </c>
      <c r="D73" s="80">
        <f t="shared" ref="D73:Z73" si="15">C73*(1-$E$8)+D71</f>
        <v>61.11</v>
      </c>
      <c r="E73" s="80">
        <f t="shared" si="15"/>
        <v>127.2159</v>
      </c>
      <c r="F73" s="80">
        <f t="shared" si="15"/>
        <v>238.18753349999997</v>
      </c>
      <c r="G73" s="80">
        <f t="shared" si="15"/>
        <v>406.99502030249994</v>
      </c>
      <c r="H73" s="80">
        <f t="shared" si="15"/>
        <v>652.81119121653751</v>
      </c>
      <c r="I73" s="80">
        <f t="shared" si="15"/>
        <v>1003.299315531278</v>
      </c>
      <c r="J73" s="80">
        <f t="shared" si="15"/>
        <v>1467.3574083664034</v>
      </c>
      <c r="K73" s="80">
        <f t="shared" si="15"/>
        <v>2058.7412771585259</v>
      </c>
      <c r="L73" s="80">
        <f t="shared" si="15"/>
        <v>2796.579520810591</v>
      </c>
      <c r="M73" s="80">
        <f t="shared" si="15"/>
        <v>3706.1052963266338</v>
      </c>
      <c r="N73" s="80">
        <f t="shared" si="15"/>
        <v>4819.6333384371846</v>
      </c>
      <c r="O73" s="80">
        <f t="shared" si="15"/>
        <v>6177.8205408592867</v>
      </c>
      <c r="P73" s="80">
        <f t="shared" si="15"/>
        <v>7792.1569429618612</v>
      </c>
      <c r="Q73" s="80">
        <f t="shared" si="15"/>
        <v>9681.170562025889</v>
      </c>
      <c r="R73" s="80">
        <f t="shared" si="15"/>
        <v>11870.460862354494</v>
      </c>
      <c r="S73" s="80">
        <f t="shared" si="15"/>
        <v>14392.928699866565</v>
      </c>
      <c r="T73" s="80">
        <f t="shared" si="15"/>
        <v>17289.196653718875</v>
      </c>
      <c r="U73" s="80">
        <f t="shared" si="15"/>
        <v>20608.219330227104</v>
      </c>
      <c r="V73" s="80">
        <f t="shared" si="15"/>
        <v>24408.088530040528</v>
      </c>
      <c r="W73" s="80">
        <f t="shared" si="15"/>
        <v>28757.043277526034</v>
      </c>
      <c r="X73" s="80">
        <f t="shared" si="15"/>
        <v>33734.699775814821</v>
      </c>
      <c r="Y73" s="80">
        <f t="shared" si="15"/>
        <v>39433.521515256092</v>
      </c>
      <c r="Z73" s="80">
        <f t="shared" si="15"/>
        <v>45960.555164178542</v>
      </c>
    </row>
    <row r="74" spans="2:26" ht="15" customHeight="1" x14ac:dyDescent="0.2">
      <c r="B74" s="79" t="s">
        <v>294</v>
      </c>
      <c r="C74" s="80">
        <f>C72</f>
        <v>3.5</v>
      </c>
      <c r="D74" s="80">
        <f t="shared" ref="D74:Z74" si="16">C74*(1-$E$9)+D72</f>
        <v>6.8599999999999994</v>
      </c>
      <c r="E74" s="80">
        <f t="shared" si="16"/>
        <v>14.338100000000001</v>
      </c>
      <c r="F74" s="80">
        <f t="shared" si="16"/>
        <v>26.942863500000001</v>
      </c>
      <c r="G74" s="80">
        <f t="shared" si="16"/>
        <v>46.209453272499999</v>
      </c>
      <c r="H74" s="80">
        <f t="shared" si="16"/>
        <v>74.387283156287495</v>
      </c>
      <c r="I74" s="80">
        <f t="shared" si="16"/>
        <v>114.70699136200631</v>
      </c>
      <c r="J74" s="80">
        <f t="shared" si="16"/>
        <v>168.36938412608185</v>
      </c>
      <c r="K74" s="80">
        <f t="shared" si="16"/>
        <v>237.12631023816152</v>
      </c>
      <c r="L74" s="80">
        <f t="shared" si="16"/>
        <v>323.34822674881025</v>
      </c>
      <c r="M74" s="80">
        <f t="shared" si="16"/>
        <v>430.11658065271104</v>
      </c>
      <c r="N74" s="80">
        <f t="shared" si="16"/>
        <v>561.34462408106356</v>
      </c>
      <c r="O74" s="80">
        <f t="shared" si="16"/>
        <v>721.93141719874689</v>
      </c>
      <c r="P74" s="80">
        <f t="shared" si="16"/>
        <v>913.61034212792288</v>
      </c>
      <c r="Q74" s="80">
        <f t="shared" si="16"/>
        <v>1138.9040435141105</v>
      </c>
      <c r="R74" s="80">
        <f t="shared" si="16"/>
        <v>1401.1434966680081</v>
      </c>
      <c r="S74" s="80">
        <f t="shared" si="16"/>
        <v>1704.5083667183255</v>
      </c>
      <c r="T74" s="80">
        <f t="shared" si="16"/>
        <v>2054.0884404767371</v>
      </c>
      <c r="U74" s="80">
        <f t="shared" si="16"/>
        <v>2455.9665112722632</v>
      </c>
      <c r="V74" s="80">
        <f t="shared" si="16"/>
        <v>2917.3236685577122</v>
      </c>
      <c r="W74" s="80">
        <f t="shared" si="16"/>
        <v>3446.5685061807303</v>
      </c>
      <c r="X74" s="80">
        <f t="shared" si="16"/>
        <v>4053.4923320379839</v>
      </c>
      <c r="Y74" s="80">
        <f t="shared" si="16"/>
        <v>4749.4530527553707</v>
      </c>
      <c r="Z74" s="80">
        <f t="shared" si="16"/>
        <v>5547.5910350715803</v>
      </c>
    </row>
    <row r="75" spans="2:26" ht="15" customHeight="1" x14ac:dyDescent="0.2">
      <c r="B75" s="84" t="s">
        <v>216</v>
      </c>
      <c r="C75" s="98">
        <f t="shared" ref="C75:Z75" si="17">C69+C73+C74</f>
        <v>1035</v>
      </c>
      <c r="D75" s="98">
        <f t="shared" si="17"/>
        <v>2282.9700000000003</v>
      </c>
      <c r="E75" s="98">
        <f t="shared" si="17"/>
        <v>3906.7789999999995</v>
      </c>
      <c r="F75" s="98">
        <f t="shared" si="17"/>
        <v>6077.7887719999999</v>
      </c>
      <c r="G75" s="98">
        <f t="shared" si="17"/>
        <v>9032.1210491999991</v>
      </c>
      <c r="H75" s="98">
        <f t="shared" si="17"/>
        <v>13097.255483507197</v>
      </c>
      <c r="I75" s="98">
        <f t="shared" si="17"/>
        <v>17761.055569337797</v>
      </c>
      <c r="J75" s="98">
        <f t="shared" si="17"/>
        <v>23204.784357384757</v>
      </c>
      <c r="K75" s="98">
        <f t="shared" si="17"/>
        <v>29640.715850303881</v>
      </c>
      <c r="L75" s="98">
        <f t="shared" si="17"/>
        <v>37320.58002580316</v>
      </c>
      <c r="M75" s="98">
        <f t="shared" si="17"/>
        <v>46545.566635396775</v>
      </c>
      <c r="N75" s="98">
        <f t="shared" si="17"/>
        <v>57678.285985639937</v>
      </c>
      <c r="O75" s="98">
        <f t="shared" si="17"/>
        <v>69915.803848665426</v>
      </c>
      <c r="P75" s="98">
        <f t="shared" si="17"/>
        <v>83516.657305462504</v>
      </c>
      <c r="Q75" s="98">
        <f t="shared" si="17"/>
        <v>98761.67886110059</v>
      </c>
      <c r="R75" s="98">
        <f t="shared" si="17"/>
        <v>115960.35004960475</v>
      </c>
      <c r="S75" s="98">
        <f t="shared" si="17"/>
        <v>135457.55376005484</v>
      </c>
      <c r="T75" s="98">
        <f t="shared" si="17"/>
        <v>157640.88749836583</v>
      </c>
      <c r="U75" s="98">
        <f t="shared" si="17"/>
        <v>182948.70519473913</v>
      </c>
      <c r="V75" s="98">
        <f t="shared" si="17"/>
        <v>211879.06487440586</v>
      </c>
      <c r="W75" s="98">
        <f t="shared" si="17"/>
        <v>244999.77352784475</v>
      </c>
      <c r="X75" s="98">
        <f t="shared" si="17"/>
        <v>282959.73896468326</v>
      </c>
      <c r="Y75" s="98">
        <f t="shared" si="17"/>
        <v>326501.86154698994</v>
      </c>
      <c r="Z75" s="98">
        <f t="shared" si="17"/>
        <v>376477.72682137851</v>
      </c>
    </row>
    <row r="76" spans="2:26" ht="15" customHeight="1" x14ac:dyDescent="0.2">
      <c r="B76" s="84" t="s">
        <v>295</v>
      </c>
      <c r="C76" s="98">
        <f t="shared" ref="C76:Z76" si="18">C73+C74</f>
        <v>35</v>
      </c>
      <c r="D76" s="98">
        <f t="shared" si="18"/>
        <v>67.97</v>
      </c>
      <c r="E76" s="98">
        <f t="shared" si="18"/>
        <v>141.554</v>
      </c>
      <c r="F76" s="98">
        <f t="shared" si="18"/>
        <v>265.13039699999996</v>
      </c>
      <c r="G76" s="98">
        <f t="shared" si="18"/>
        <v>453.20447357499995</v>
      </c>
      <c r="H76" s="98">
        <f t="shared" si="18"/>
        <v>727.19847437282499</v>
      </c>
      <c r="I76" s="98">
        <f t="shared" si="18"/>
        <v>1118.0063068932843</v>
      </c>
      <c r="J76" s="98">
        <f t="shared" si="18"/>
        <v>1635.7267924924854</v>
      </c>
      <c r="K76" s="98">
        <f t="shared" si="18"/>
        <v>2295.8675873966877</v>
      </c>
      <c r="L76" s="98">
        <f t="shared" si="18"/>
        <v>3119.9277475594013</v>
      </c>
      <c r="M76" s="98">
        <f t="shared" si="18"/>
        <v>4136.2218769793453</v>
      </c>
      <c r="N76" s="98">
        <f t="shared" si="18"/>
        <v>5380.9779625182482</v>
      </c>
      <c r="O76" s="98">
        <f t="shared" si="18"/>
        <v>6899.7519580580338</v>
      </c>
      <c r="P76" s="98">
        <f t="shared" si="18"/>
        <v>8705.7672850897834</v>
      </c>
      <c r="Q76" s="98">
        <f t="shared" si="18"/>
        <v>10820.07460554</v>
      </c>
      <c r="R76" s="98">
        <f t="shared" si="18"/>
        <v>13271.604359022502</v>
      </c>
      <c r="S76" s="98">
        <f t="shared" si="18"/>
        <v>16097.437066584891</v>
      </c>
      <c r="T76" s="98">
        <f t="shared" si="18"/>
        <v>19343.285094195613</v>
      </c>
      <c r="U76" s="98">
        <f t="shared" si="18"/>
        <v>23064.185841499369</v>
      </c>
      <c r="V76" s="98">
        <f t="shared" si="18"/>
        <v>27325.412198598242</v>
      </c>
      <c r="W76" s="98">
        <f t="shared" si="18"/>
        <v>32203.611783706765</v>
      </c>
      <c r="X76" s="98">
        <f t="shared" si="18"/>
        <v>37788.192107852803</v>
      </c>
      <c r="Y76" s="98">
        <f t="shared" si="18"/>
        <v>44182.974568011465</v>
      </c>
      <c r="Z76" s="98">
        <f t="shared" si="18"/>
        <v>51508.146199250121</v>
      </c>
    </row>
    <row r="77" spans="2:26" ht="15" customHeight="1" x14ac:dyDescent="0.2">
      <c r="B77" s="79" t="s">
        <v>296</v>
      </c>
      <c r="C77" s="83">
        <f>C73*Допущения!$C$27+C74*Допущения!$C$28+C69*$E$16+C75*Допущения!$C$46</f>
        <v>2387</v>
      </c>
      <c r="D77" s="83">
        <f>D73*Допущения!$C$27+D74*Допущения!$C$28+D69*$E$16+D75*Допущения!$C$46</f>
        <v>5022.7939999999999</v>
      </c>
      <c r="E77" s="83">
        <f>E73*Допущения!$C$27+E74*Допущения!$C$28+E69*$E$16+E75*Допущения!$C$46</f>
        <v>9277.7538000000004</v>
      </c>
      <c r="F77" s="83">
        <f>F73*Допущения!$C$27+F74*Допущения!$C$28+F69*$E$16+F75*Допущения!$C$46</f>
        <v>15648.784824399998</v>
      </c>
      <c r="G77" s="83">
        <f>G73*Допущения!$C$27+G74*Допущения!$C$28+G69*$E$16+G75*Допущения!$C$46</f>
        <v>24861.969833889998</v>
      </c>
      <c r="H77" s="83">
        <f>H73*Допущения!$C$27+H74*Допущения!$C$28+H69*$E$16+H75*Допущения!$C$46</f>
        <v>37958.47164762218</v>
      </c>
      <c r="I77" s="83">
        <f>I73*Допущения!$C$27+I74*Допущения!$C$28+I69*$E$16+I75*Допущения!$C$46</f>
        <v>55060.555675627162</v>
      </c>
      <c r="J77" s="83">
        <f>J73*Допущения!$C$27+J74*Допущения!$C$28+J69*$E$16+J75*Допущения!$C$46</f>
        <v>76707.912529283931</v>
      </c>
      <c r="K77" s="83">
        <f>K73*Допущения!$C$27+K74*Допущения!$C$28+K69*$E$16+K75*Допущения!$C$46</f>
        <v>103629.41765253608</v>
      </c>
      <c r="L77" s="83">
        <f>L73*Допущения!$C$27+L74*Допущения!$C$28+L69*$E$16+L75*Допущения!$C$46</f>
        <v>136771.31183014601</v>
      </c>
      <c r="M77" s="83">
        <f>M73*Допущения!$C$27+M74*Допущения!$C$28+M69*$E$16+M75*Допущения!$C$46</f>
        <v>177334.09102898405</v>
      </c>
      <c r="N77" s="83">
        <f>N73*Допущения!$C$27+N74*Допущения!$C$28+N69*$E$16+N75*Допущения!$C$46</f>
        <v>226819.55600172404</v>
      </c>
      <c r="O77" s="83">
        <f>O73*Допущения!$C$27+O74*Допущения!$C$28+O69*$E$16+O75*Допущения!$C$46</f>
        <v>285351.97557552235</v>
      </c>
      <c r="P77" s="83">
        <f>P73*Допущения!$C$27+P74*Допущения!$C$28+P69*$E$16+P75*Допущения!$C$46</f>
        <v>353680.57255756931</v>
      </c>
      <c r="Q77" s="83">
        <f>Q73*Допущения!$C$27+Q74*Допущения!$C$28+Q69*$E$16+Q75*Допущения!$C$46</f>
        <v>432796.07647082169</v>
      </c>
      <c r="R77" s="83">
        <f>R73*Допущения!$C$27+R74*Допущения!$C$28+R69*$E$16+R75*Допущения!$C$46</f>
        <v>523942.13175251032</v>
      </c>
      <c r="S77" s="83">
        <f>S73*Допущения!$C$27+S74*Допущения!$C$28+S69*$E$16+S75*Допущения!$C$46</f>
        <v>628633.06145333883</v>
      </c>
      <c r="T77" s="83">
        <f>T73*Допущения!$C$27+T74*Допущения!$C$28+T69*$E$16+T75*Допущения!$C$46</f>
        <v>748678.0775067287</v>
      </c>
      <c r="U77" s="83">
        <f>U73*Допущения!$C$27+U74*Допущения!$C$28+U69*$E$16+U75*Допущения!$C$46</f>
        <v>886212.20199460397</v>
      </c>
      <c r="V77" s="83">
        <f>V73*Допущения!$C$27+V74*Допущения!$C$28+V69*$E$16+V75*Допущения!$C$46</f>
        <v>1043734.333642432</v>
      </c>
      <c r="W77" s="83">
        <f>W73*Допущения!$C$27+W74*Допущения!$C$28+W69*$E$16+W75*Допущения!$C$46</f>
        <v>1224153.0649671282</v>
      </c>
      <c r="X77" s="83">
        <f>X73*Допущения!$C$27+X74*Допущения!$C$28+X69*$E$16+X75*Допущения!$C$46</f>
        <v>1430841.0327412281</v>
      </c>
      <c r="Y77" s="83">
        <f>Y73*Допущения!$C$27+Y74*Допущения!$C$28+Y69*$E$16+Y75*Допущения!$C$46</f>
        <v>1667698.772264831</v>
      </c>
      <c r="Z77" s="83">
        <f>Z73*Допущения!$C$27+Z74*Допущения!$C$28+Z69*$E$16+Z75*Допущения!$C$46</f>
        <v>1939229.2489015588</v>
      </c>
    </row>
    <row r="78" spans="2:26" ht="15" customHeight="1" x14ac:dyDescent="0.2">
      <c r="B78" s="79" t="s">
        <v>297</v>
      </c>
      <c r="C78" s="83">
        <f>C69*(Допущения!$C$6/1000000)*(Допущения!$C$10*Допущения!$C$15*(1-$E$15*Допущения!$C$13)+Допущения!$C$11*Допущения!$C$16)+C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C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C75*Допущения!$C$48+C76*Допущения!$C$49+(C73*Допущения!$C$27+C74*Допущения!$C$28)*Допущения!$C$50+C68*$E$17</f>
        <v>1618.4743999999998</v>
      </c>
      <c r="D78" s="83">
        <f>D69*(Допущения!$C$6/1000000)*(Допущения!$C$10*Допущения!$C$15*(1-$E$15*Допущения!$C$13)+Допущения!$C$11*Допущения!$C$16)+D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D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D75*Допущения!$C$48+D76*Допущения!$C$49+(D73*Допущения!$C$27+D74*Допущения!$C$28)*Допущения!$C$50+D68*$E$17</f>
        <v>2661.6019559999995</v>
      </c>
      <c r="E78" s="83">
        <f>E69*(Допущения!$C$6/1000000)*(Допущения!$C$10*Допущения!$C$15*(1-$E$15*Допущения!$C$13)+Допущения!$C$11*Допущения!$C$16)+E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E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E75*Допущения!$C$48+E76*Допущения!$C$49+(E73*Допущения!$C$27+E74*Допущения!$C$28)*Допущения!$C$50+E68*$E$17</f>
        <v>4409.3398898399992</v>
      </c>
      <c r="F78" s="83">
        <f>F69*(Допущения!$C$6/1000000)*(Допущения!$C$10*Допущения!$C$15*(1-$E$15*Допущения!$C$13)+Допущения!$C$11*Допущения!$C$16)+F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F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F75*Допущения!$C$48+F76*Допущения!$C$49+(F73*Допущения!$C$27+F74*Допущения!$C$28)*Допущения!$C$50+F68*$E$17</f>
        <v>7071.7206264815995</v>
      </c>
      <c r="G78" s="83">
        <f>G69*(Допущения!$C$6/1000000)*(Допущения!$C$10*Допущения!$C$15*(1-$E$15*Допущения!$C$13)+Допущения!$C$11*Допущения!$C$16)+G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G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G75*Допущения!$C$48+G76*Допущения!$C$49+(G73*Допущения!$C$27+G74*Допущения!$C$28)*Допущения!$C$50+G68*$E$17</f>
        <v>10957.074384720621</v>
      </c>
      <c r="H78" s="83">
        <f>H69*(Допущения!$C$6/1000000)*(Допущения!$C$10*Допущения!$C$15*(1-$E$15*Допущения!$C$13)+Допущения!$C$11*Допущения!$C$16)+H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H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H75*Допущения!$C$48+H76*Допущения!$C$49+(H73*Допущения!$C$27+H74*Допущения!$C$28)*Допущения!$C$50+H68*$E$17</f>
        <v>16508.650397446901</v>
      </c>
      <c r="I78" s="83">
        <f>I69*(Допущения!$C$6/1000000)*(Допущения!$C$10*Допущения!$C$15*(1-$E$15*Допущения!$C$13)+Допущения!$C$11*Допущения!$C$16)+I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I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I75*Допущения!$C$48+I76*Допущения!$C$49+(I73*Допущения!$C$27+I74*Допущения!$C$28)*Допущения!$C$50+I68*$E$17</f>
        <v>23182.607333983025</v>
      </c>
      <c r="J78" s="83">
        <f>J69*(Допущения!$C$6/1000000)*(Допущения!$C$10*Допущения!$C$15*(1-$E$15*Допущения!$C$13)+Допущения!$C$11*Допущения!$C$16)+J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J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J75*Допущения!$C$48+J76*Допущения!$C$49+(J73*Допущения!$C$27+J74*Допущения!$C$28)*Допущения!$C$50+J68*$E$17</f>
        <v>31753.822682984301</v>
      </c>
      <c r="K78" s="83">
        <f>K69*(Допущения!$C$6/1000000)*(Допущения!$C$10*Допущения!$C$15*(1-$E$15*Допущения!$C$13)+Допущения!$C$11*Допущения!$C$16)+K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K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K75*Допущения!$C$48+K76*Допущения!$C$49+(K73*Допущения!$C$27+K74*Допущения!$C$28)*Допущения!$C$50+K68*$E$17</f>
        <v>42509.294954213467</v>
      </c>
      <c r="L78" s="83">
        <f>L69*(Допущения!$C$6/1000000)*(Допущения!$C$10*Допущения!$C$15*(1-$E$15*Допущения!$C$13)+Допущения!$C$11*Допущения!$C$16)+L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L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L75*Допущения!$C$48+L76*Допущения!$C$49+(L73*Допущения!$C$27+L74*Допущения!$C$28)*Допущения!$C$50+L68*$E$17</f>
        <v>55826.009338024931</v>
      </c>
      <c r="M78" s="83">
        <f>M69*(Допущения!$C$6/1000000)*(Допущения!$C$10*Допущения!$C$15*(1-$E$15*Допущения!$C$13)+Допущения!$C$11*Допущения!$C$16)+M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M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M75*Допущения!$C$48+M76*Допущения!$C$49+(M73*Допущения!$C$27+M74*Допущения!$C$28)*Допущения!$C$50+M68*$E$17</f>
        <v>72185.618232393317</v>
      </c>
      <c r="N78" s="83">
        <f>N69*(Допущения!$C$6/1000000)*(Допущения!$C$10*Допущения!$C$15*(1-$E$15*Допущения!$C$13)+Допущения!$C$11*Допущения!$C$16)+N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N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N75*Допущения!$C$48+N76*Допущения!$C$49+(N73*Допущения!$C$27+N74*Допущения!$C$28)*Допущения!$C$50+N68*$E$17</f>
        <v>92193.306494945209</v>
      </c>
      <c r="O78" s="83">
        <f>O69*(Допущения!$C$6/1000000)*(Допущения!$C$10*Допущения!$C$15*(1-$E$15*Допущения!$C$13)+Допущения!$C$11*Допущения!$C$16)+O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O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O75*Допущения!$C$48+O76*Допущения!$C$49+(O73*Допущения!$C$27+O74*Допущения!$C$28)*Допущения!$C$50+O68*$E$17</f>
        <v>115096.46261243272</v>
      </c>
      <c r="P78" s="83">
        <f>P69*(Допущения!$C$6/1000000)*(Допущения!$C$10*Допущения!$C$15*(1-$E$15*Допущения!$C$13)+Допущения!$C$11*Допущения!$C$16)+P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P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P75*Допущения!$C$48+P76*Допущения!$C$49+(P73*Допущения!$C$27+P74*Допущения!$C$28)*Допущения!$C$50+P68*$E$17</f>
        <v>142053.85970621806</v>
      </c>
      <c r="Q78" s="83">
        <f>Q69*(Допущения!$C$6/1000000)*(Допущения!$C$10*Допущения!$C$15*(1-$E$15*Допущения!$C$13)+Допущения!$C$11*Допущения!$C$16)+Q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Q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Q75*Допущения!$C$48+Q76*Допущения!$C$49+(Q73*Допущения!$C$27+Q74*Допущения!$C$28)*Допущения!$C$50+Q68*$E$17</f>
        <v>173441.4191803906</v>
      </c>
      <c r="R78" s="83">
        <f>R69*(Допущения!$C$6/1000000)*(Допущения!$C$10*Допущения!$C$15*(1-$E$15*Допущения!$C$13)+Допущения!$C$11*Допущения!$C$16)+R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R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R75*Допущения!$C$48+R76*Допущения!$C$49+(R73*Допущения!$C$27+R74*Допущения!$C$28)*Допущения!$C$50+R68*$E$17</f>
        <v>209740.67068214438</v>
      </c>
      <c r="S78" s="83">
        <f>S69*(Допущения!$C$6/1000000)*(Допущения!$C$10*Допущения!$C$15*(1-$E$15*Допущения!$C$13)+Допущения!$C$11*Допущения!$C$16)+S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S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S75*Допущения!$C$48+S76*Допущения!$C$49+(S73*Допущения!$C$27+S74*Допущения!$C$28)*Допущения!$C$50+S68*$E$17</f>
        <v>251545.14418430318</v>
      </c>
      <c r="T78" s="83">
        <f>T69*(Допущения!$C$6/1000000)*(Допущения!$C$10*Допущения!$C$15*(1-$E$15*Допущения!$C$13)+Допущения!$C$11*Допущения!$C$16)+T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T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T75*Допущения!$C$48+T76*Допущения!$C$49+(T73*Допущения!$C$27+T74*Допущения!$C$28)*Допущения!$C$50+T68*$E$17</f>
        <v>299569.4882937636</v>
      </c>
      <c r="U78" s="83">
        <f>U69*(Допущения!$C$6/1000000)*(Допущения!$C$10*Допущения!$C$15*(1-$E$15*Допущения!$C$13)+Допущения!$C$11*Допущения!$C$16)+U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U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U75*Допущения!$C$48+U76*Допущения!$C$49+(U73*Допущения!$C$27+U74*Допущения!$C$28)*Допущения!$C$50+U68*$E$17</f>
        <v>354661.39564050868</v>
      </c>
      <c r="V78" s="83">
        <f>V69*(Допущения!$C$6/1000000)*(Допущения!$C$10*Допущения!$C$15*(1-$E$15*Допущения!$C$13)+Допущения!$C$11*Допущения!$C$16)+V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V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V75*Допущения!$C$48+V76*Допущения!$C$49+(V73*Допущения!$C$27+V74*Допущения!$C$28)*Допущения!$C$50+V68*$E$17</f>
        <v>417816.48908910516</v>
      </c>
      <c r="W78" s="83">
        <f>W69*(Допущения!$C$6/1000000)*(Допущения!$C$10*Допущения!$C$15*(1-$E$15*Допущения!$C$13)+Допущения!$C$11*Допущения!$C$16)+W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W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W75*Допущения!$C$48+W76*Допущения!$C$49+(W73*Допущения!$C$27+W74*Допущения!$C$28)*Допущения!$C$50+W68*$E$17</f>
        <v>490196.39509073878</v>
      </c>
      <c r="X78" s="83">
        <f>X69*(Допущения!$C$6/1000000)*(Допущения!$C$10*Допущения!$C$15*(1-$E$15*Допущения!$C$13)+Допущения!$C$11*Допущения!$C$16)+X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X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X75*Допущения!$C$48+X76*Допущения!$C$49+(X73*Допущения!$C$27+X74*Допущения!$C$28)*Допущения!$C$50+X68*$E$17</f>
        <v>573150.30479260162</v>
      </c>
      <c r="Y78" s="83">
        <f>Y69*(Допущения!$C$6/1000000)*(Допущения!$C$10*Допущения!$C$15*(1-$E$15*Допущения!$C$13)+Допущения!$C$11*Допущения!$C$16)+Y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Y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Y75*Допущения!$C$48+Y76*Допущения!$C$49+(Y73*Допущения!$C$27+Y74*Допущения!$C$28)*Допущения!$C$50+Y68*$E$17</f>
        <v>668240.40149671817</v>
      </c>
      <c r="Z78" s="83">
        <f>Z69*(Допущения!$C$6/1000000)*(Допущения!$C$10*Допущения!$C$15*(1-$E$15*Допущения!$C$13)+Допущения!$C$11*Допущения!$C$16)+Z73*(Допущения!$C$7/1000000)*(Допущения!$C$22*(Допущения!$C$10*Допущения!$C$17*(1-$E$15*Допущения!$C$13)+Допущения!$C$11*Допущения!$C$18)+Допущения!$C$23*(Допущения!$C$10*Допущения!$C$19*(1-$E$15*Допущения!$C$13)+Допущения!$C$11*Допущения!$C$20))+Z74*(Допущения!$C$8/1000000)*(Допущения!$C$24*(Допущения!$C$10*Допущения!$C$17*(1-$E$15*Допущения!$C$13)+Допущения!$C$11*Допущения!$C$18)+Допущения!$C$25*(Допущения!$C$10*Допущения!$C$19*(1-$E$15*Допущения!$C$13)+Допущения!$C$11*Допущения!$C$20))+Z75*Допущения!$C$48+Z76*Допущения!$C$49+(Z73*Допущения!$C$27+Z74*Допущения!$C$28)*Допущения!$C$50+Z68*$E$17</f>
        <v>777271.61664541333</v>
      </c>
    </row>
    <row r="79" spans="2:26" ht="15" customHeight="1" x14ac:dyDescent="0.2">
      <c r="B79" s="84" t="s">
        <v>298</v>
      </c>
      <c r="C79" s="85">
        <f t="shared" ref="C79:Z79" si="19">C77-C78</f>
        <v>768.52560000000017</v>
      </c>
      <c r="D79" s="85">
        <f t="shared" si="19"/>
        <v>2361.1920440000004</v>
      </c>
      <c r="E79" s="85">
        <f t="shared" si="19"/>
        <v>4868.4139101600013</v>
      </c>
      <c r="F79" s="85">
        <f t="shared" si="19"/>
        <v>8577.0641979183983</v>
      </c>
      <c r="G79" s="85">
        <f t="shared" si="19"/>
        <v>13904.895449169377</v>
      </c>
      <c r="H79" s="85">
        <f t="shared" si="19"/>
        <v>21449.821250175279</v>
      </c>
      <c r="I79" s="85">
        <f t="shared" si="19"/>
        <v>31877.948341644136</v>
      </c>
      <c r="J79" s="85">
        <f t="shared" si="19"/>
        <v>44954.089846299627</v>
      </c>
      <c r="K79" s="85">
        <f t="shared" si="19"/>
        <v>61120.122698322615</v>
      </c>
      <c r="L79" s="85">
        <f t="shared" si="19"/>
        <v>80945.302492121074</v>
      </c>
      <c r="M79" s="85">
        <f t="shared" si="19"/>
        <v>105148.47279659074</v>
      </c>
      <c r="N79" s="85">
        <f t="shared" si="19"/>
        <v>134626.24950677884</v>
      </c>
      <c r="O79" s="85">
        <f t="shared" si="19"/>
        <v>170255.51296308963</v>
      </c>
      <c r="P79" s="85">
        <f t="shared" si="19"/>
        <v>211626.71285135124</v>
      </c>
      <c r="Q79" s="85">
        <f t="shared" si="19"/>
        <v>259354.65729043109</v>
      </c>
      <c r="R79" s="85">
        <f t="shared" si="19"/>
        <v>314201.46107036597</v>
      </c>
      <c r="S79" s="85">
        <f t="shared" si="19"/>
        <v>377087.91726903565</v>
      </c>
      <c r="T79" s="85">
        <f t="shared" si="19"/>
        <v>449108.5892129651</v>
      </c>
      <c r="U79" s="85">
        <f t="shared" si="19"/>
        <v>531550.80635409523</v>
      </c>
      <c r="V79" s="85">
        <f t="shared" si="19"/>
        <v>625917.84455332684</v>
      </c>
      <c r="W79" s="85">
        <f t="shared" si="19"/>
        <v>733956.66987638944</v>
      </c>
      <c r="X79" s="85">
        <f t="shared" si="19"/>
        <v>857690.7279486265</v>
      </c>
      <c r="Y79" s="85">
        <f t="shared" si="19"/>
        <v>999458.37076811283</v>
      </c>
      <c r="Z79" s="85">
        <f t="shared" si="19"/>
        <v>1161957.6322561456</v>
      </c>
    </row>
    <row r="80" spans="2:26" ht="15" customHeight="1" x14ac:dyDescent="0.2">
      <c r="B80" s="84" t="s">
        <v>299</v>
      </c>
      <c r="C80" s="85">
        <f>C79</f>
        <v>768.52560000000017</v>
      </c>
      <c r="D80" s="85">
        <f t="shared" ref="D80:Z80" si="20">C80+D79</f>
        <v>3129.7176440000003</v>
      </c>
      <c r="E80" s="85">
        <f t="shared" si="20"/>
        <v>7998.1315541600015</v>
      </c>
      <c r="F80" s="85">
        <f t="shared" si="20"/>
        <v>16575.195752078398</v>
      </c>
      <c r="G80" s="85">
        <f t="shared" si="20"/>
        <v>30480.091201247775</v>
      </c>
      <c r="H80" s="85">
        <f t="shared" si="20"/>
        <v>51929.91245142305</v>
      </c>
      <c r="I80" s="85">
        <f t="shared" si="20"/>
        <v>83807.860793067186</v>
      </c>
      <c r="J80" s="85">
        <f t="shared" si="20"/>
        <v>128761.95063936681</v>
      </c>
      <c r="K80" s="85">
        <f t="shared" si="20"/>
        <v>189882.07333768942</v>
      </c>
      <c r="L80" s="85">
        <f t="shared" si="20"/>
        <v>270827.37582981051</v>
      </c>
      <c r="M80" s="85">
        <f t="shared" si="20"/>
        <v>375975.84862640128</v>
      </c>
      <c r="N80" s="85">
        <f t="shared" si="20"/>
        <v>510602.09813318012</v>
      </c>
      <c r="O80" s="85">
        <f t="shared" si="20"/>
        <v>680857.61109626968</v>
      </c>
      <c r="P80" s="85">
        <f t="shared" si="20"/>
        <v>892484.32394762093</v>
      </c>
      <c r="Q80" s="85">
        <f t="shared" si="20"/>
        <v>1151838.981238052</v>
      </c>
      <c r="R80" s="85">
        <f t="shared" si="20"/>
        <v>1466040.442308418</v>
      </c>
      <c r="S80" s="85">
        <f t="shared" si="20"/>
        <v>1843128.3595774537</v>
      </c>
      <c r="T80" s="85">
        <f t="shared" si="20"/>
        <v>2292236.9487904189</v>
      </c>
      <c r="U80" s="85">
        <f t="shared" si="20"/>
        <v>2823787.7551445141</v>
      </c>
      <c r="V80" s="85">
        <f t="shared" si="20"/>
        <v>3449705.5996978409</v>
      </c>
      <c r="W80" s="85">
        <f t="shared" si="20"/>
        <v>4183662.2695742305</v>
      </c>
      <c r="X80" s="85">
        <f t="shared" si="20"/>
        <v>5041352.997522857</v>
      </c>
      <c r="Y80" s="85">
        <f t="shared" si="20"/>
        <v>6040811.3682909701</v>
      </c>
      <c r="Z80" s="85">
        <f t="shared" si="20"/>
        <v>7202769.0005471157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C60"/>
  <sheetViews>
    <sheetView zoomScaleNormal="100" workbookViewId="0"/>
  </sheetViews>
  <sheetFormatPr baseColWidth="10" defaultColWidth="8.6640625" defaultRowHeight="15" x14ac:dyDescent="0.2"/>
  <cols>
    <col min="1" max="1" width="2" customWidth="1"/>
    <col min="2" max="2" width="38" customWidth="1"/>
    <col min="3" max="3" width="14" customWidth="1"/>
    <col min="4" max="29" width="10" customWidth="1"/>
  </cols>
  <sheetData>
    <row r="2" spans="2:5" ht="21.75" customHeight="1" x14ac:dyDescent="0.25">
      <c r="B2" s="12" t="s">
        <v>302</v>
      </c>
    </row>
    <row r="3" spans="2:5" ht="15" customHeight="1" x14ac:dyDescent="0.2">
      <c r="B3" s="23" t="s">
        <v>303</v>
      </c>
    </row>
    <row r="5" spans="2:5" ht="15" customHeight="1" x14ac:dyDescent="0.2">
      <c r="B5" s="99" t="s">
        <v>304</v>
      </c>
      <c r="C5" s="100"/>
      <c r="D5" s="100"/>
    </row>
    <row r="6" spans="2:5" ht="15" customHeight="1" x14ac:dyDescent="0.2">
      <c r="B6" s="101" t="s">
        <v>305</v>
      </c>
      <c r="C6" s="22">
        <v>15000</v>
      </c>
      <c r="D6" s="102" t="s">
        <v>108</v>
      </c>
      <c r="E6" s="103" t="s">
        <v>306</v>
      </c>
    </row>
    <row r="7" spans="2:5" ht="15" customHeight="1" x14ac:dyDescent="0.2">
      <c r="B7" s="101" t="s">
        <v>307</v>
      </c>
      <c r="C7" s="22">
        <v>25000</v>
      </c>
      <c r="D7" s="102" t="s">
        <v>108</v>
      </c>
      <c r="E7" s="103" t="s">
        <v>306</v>
      </c>
    </row>
    <row r="8" spans="2:5" ht="15" customHeight="1" x14ac:dyDescent="0.2">
      <c r="B8" s="101" t="s">
        <v>308</v>
      </c>
      <c r="C8" s="22">
        <v>10000</v>
      </c>
      <c r="D8" s="102" t="s">
        <v>108</v>
      </c>
      <c r="E8" s="103" t="s">
        <v>306</v>
      </c>
    </row>
    <row r="10" spans="2:5" ht="15" customHeight="1" x14ac:dyDescent="0.2">
      <c r="B10" s="104" t="s">
        <v>309</v>
      </c>
      <c r="C10" s="105">
        <f>$C$6+$C$7+$C$8</f>
        <v>50000</v>
      </c>
    </row>
    <row r="12" spans="2:5" ht="53.25" customHeight="1" x14ac:dyDescent="0.2">
      <c r="B12" s="101" t="s">
        <v>310</v>
      </c>
      <c r="C12" s="22">
        <v>5000</v>
      </c>
      <c r="D12" s="102" t="s">
        <v>87</v>
      </c>
      <c r="E12" s="103" t="s">
        <v>311</v>
      </c>
    </row>
    <row r="13" spans="2:5" ht="42.75" customHeight="1" x14ac:dyDescent="0.2">
      <c r="B13" s="101" t="s">
        <v>312</v>
      </c>
      <c r="C13" s="106">
        <v>2</v>
      </c>
      <c r="D13" s="102" t="s">
        <v>313</v>
      </c>
      <c r="E13" s="103" t="s">
        <v>314</v>
      </c>
    </row>
    <row r="15" spans="2:5" ht="15" customHeight="1" x14ac:dyDescent="0.2">
      <c r="B15" s="107" t="s">
        <v>315</v>
      </c>
      <c r="C15" s="108" t="s">
        <v>316</v>
      </c>
      <c r="E15" s="109" t="s">
        <v>317</v>
      </c>
    </row>
    <row r="16" spans="2:5" ht="15" customHeight="1" x14ac:dyDescent="0.2">
      <c r="C16" t="s">
        <v>318</v>
      </c>
    </row>
    <row r="17" spans="2:29" ht="15" customHeight="1" x14ac:dyDescent="0.2">
      <c r="B17" s="110" t="s">
        <v>319</v>
      </c>
      <c r="C17" s="52"/>
      <c r="D17" s="52"/>
      <c r="E17" s="52"/>
    </row>
    <row r="18" spans="2:29" ht="15" customHeight="1" x14ac:dyDescent="0.2">
      <c r="B18" s="111" t="s">
        <v>320</v>
      </c>
      <c r="C18" s="112">
        <f>MIN(C32:AA32)</f>
        <v>-71957.076793293163</v>
      </c>
    </row>
    <row r="19" spans="2:29" ht="15" customHeight="1" x14ac:dyDescent="0.2">
      <c r="B19" s="111" t="s">
        <v>321</v>
      </c>
      <c r="C19" s="113" t="str">
        <f>INDEX(C27:AA27,MATCH(MIN(C32:AA32),C32:AA32,0))</f>
        <v>M5</v>
      </c>
    </row>
    <row r="20" spans="2:29" ht="15" customHeight="1" x14ac:dyDescent="0.2">
      <c r="B20" s="111" t="s">
        <v>322</v>
      </c>
      <c r="C20" s="113" t="str">
        <f>IFERROR(INDEX(C27:AA27,MATCH(TRUE(),C32:AA32&gt;0,0)),"не выходит")</f>
        <v>не выходит</v>
      </c>
    </row>
    <row r="21" spans="2:29" ht="15" customHeight="1" x14ac:dyDescent="0.2">
      <c r="B21" s="111" t="s">
        <v>323</v>
      </c>
      <c r="C21" s="112">
        <f>MAX(0,-MIN(C32:AA32))</f>
        <v>71957.076793293163</v>
      </c>
    </row>
    <row r="22" spans="2:29" ht="15" customHeight="1" x14ac:dyDescent="0.2">
      <c r="B22" s="111" t="s">
        <v>324</v>
      </c>
      <c r="C22" s="112">
        <f>AA32</f>
        <v>1752370.1839385417</v>
      </c>
    </row>
    <row r="23" spans="2:29" ht="15" customHeight="1" x14ac:dyDescent="0.2">
      <c r="B23" s="111" t="s">
        <v>325</v>
      </c>
      <c r="C23" s="114">
        <f>IF($C$12=0,"∞",MAX(0,-MIN(C32:AA32))/$C$12)</f>
        <v>14.391415358658632</v>
      </c>
    </row>
    <row r="26" spans="2:29" ht="15" customHeight="1" x14ac:dyDescent="0.2">
      <c r="B26" s="99" t="s">
        <v>326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</row>
    <row r="27" spans="2:29" ht="15" customHeight="1" x14ac:dyDescent="0.2">
      <c r="B27" s="115" t="s">
        <v>287</v>
      </c>
      <c r="C27" s="116" t="s">
        <v>327</v>
      </c>
      <c r="D27" s="116" t="s">
        <v>183</v>
      </c>
      <c r="E27" s="116" t="s">
        <v>184</v>
      </c>
      <c r="F27" s="116" t="s">
        <v>185</v>
      </c>
      <c r="G27" s="116" t="s">
        <v>186</v>
      </c>
      <c r="H27" s="116" t="s">
        <v>187</v>
      </c>
      <c r="I27" s="116" t="s">
        <v>188</v>
      </c>
      <c r="J27" s="116" t="s">
        <v>189</v>
      </c>
      <c r="K27" s="116" t="s">
        <v>190</v>
      </c>
      <c r="L27" s="116" t="s">
        <v>191</v>
      </c>
      <c r="M27" s="116" t="s">
        <v>192</v>
      </c>
      <c r="N27" s="116" t="s">
        <v>193</v>
      </c>
      <c r="O27" s="116" t="s">
        <v>194</v>
      </c>
      <c r="P27" s="116" t="s">
        <v>195</v>
      </c>
      <c r="Q27" s="116" t="s">
        <v>196</v>
      </c>
      <c r="R27" s="116" t="s">
        <v>197</v>
      </c>
      <c r="S27" s="116" t="s">
        <v>198</v>
      </c>
      <c r="T27" s="116" t="s">
        <v>199</v>
      </c>
      <c r="U27" s="116" t="s">
        <v>200</v>
      </c>
      <c r="V27" s="116" t="s">
        <v>201</v>
      </c>
      <c r="W27" s="116" t="s">
        <v>202</v>
      </c>
      <c r="X27" s="116" t="s">
        <v>203</v>
      </c>
      <c r="Y27" s="116" t="s">
        <v>204</v>
      </c>
      <c r="Z27" s="116" t="s">
        <v>205</v>
      </c>
      <c r="AA27" s="116" t="s">
        <v>206</v>
      </c>
    </row>
    <row r="28" spans="2:29" ht="15" customHeight="1" x14ac:dyDescent="0.2">
      <c r="B28" s="117" t="s">
        <v>328</v>
      </c>
      <c r="C28" s="118">
        <v>0</v>
      </c>
      <c r="D28" s="119">
        <f>CHOOSE(MATCH($C$15,{"Bear";"Base";"Bull"},0),Сценарии!$C$45,Сценарии!$C$62,Сценарии!$C$79)</f>
        <v>-462.05600000000004</v>
      </c>
      <c r="E28" s="119">
        <f>CHOOSE(MATCH($C$15,{"Bear";"Base";"Bull"},0),Сценарии!$D$45,Сценарии!$D$62,Сценарии!$D$79)</f>
        <v>197.50067999999965</v>
      </c>
      <c r="F28" s="119">
        <f>CHOOSE(MATCH($C$15,{"Bear";"Base";"Bull"},0),Сценарии!$E$45,Сценарии!$E$62,Сценарии!$E$79)</f>
        <v>1200.9224555999999</v>
      </c>
      <c r="G28" s="119">
        <f>CHOOSE(MATCH($C$15,{"Bear";"Base";"Bull"},0),Сценарии!$F$45,Сценарии!$F$62,Сценарии!$F$79)</f>
        <v>2606.6875068519985</v>
      </c>
      <c r="H28" s="119">
        <f>CHOOSE(MATCH($C$15,{"Bear";"Base";"Bull"},0),Сценарии!$G$45,Сценарии!$G$62,Сценарии!$G$79)</f>
        <v>4499.8685642548371</v>
      </c>
      <c r="I28" s="119">
        <f>CHOOSE(MATCH($C$15,{"Bear";"Base";"Bull"},0),Сценарии!$H$45,Сценарии!$H$62,Сценарии!$H$79)</f>
        <v>6998.4628494557837</v>
      </c>
      <c r="J28" s="119">
        <f>CHOOSE(MATCH($C$15,{"Bear";"Base";"Bull"},0),Сценарии!$I$45,Сценарии!$I$62,Сценарии!$I$79)</f>
        <v>10608.37059935252</v>
      </c>
      <c r="K28" s="119">
        <f>CHOOSE(MATCH($C$15,{"Bear";"Base";"Bull"},0),Сценарии!$J$45,Сценарии!$J$62,Сценарии!$J$79)</f>
        <v>14953.885051170088</v>
      </c>
      <c r="L28" s="119">
        <f>CHOOSE(MATCH($C$15,{"Bear";"Base";"Bull"},0),Сценарии!$K$45,Сценарии!$K$62,Сценарии!$K$79)</f>
        <v>20118.917006241696</v>
      </c>
      <c r="M28" s="119">
        <f>CHOOSE(MATCH($C$15,{"Bear";"Base";"Bull"},0),Сценарии!$L$45,Сценарии!$L$62,Сценарии!$L$79)</f>
        <v>26213.192617916069</v>
      </c>
      <c r="N28" s="119">
        <f>CHOOSE(MATCH($C$15,{"Bear";"Base";"Bull"},0),Сценарии!$M$45,Сценарии!$M$62,Сценарии!$M$79)</f>
        <v>33374.894181109601</v>
      </c>
      <c r="O28" s="119">
        <f>CHOOSE(MATCH($C$15,{"Bear";"Base";"Bull"},0),Сценарии!$N$45,Сценарии!$N$62,Сценарии!$N$79)</f>
        <v>41774.131467293671</v>
      </c>
      <c r="P28" s="119">
        <f>CHOOSE(MATCH($C$15,{"Bear";"Base";"Bull"},0),Сценарии!$O$45,Сценарии!$O$62,Сценарии!$O$79)</f>
        <v>52084.976627598116</v>
      </c>
      <c r="Q28" s="119">
        <f>CHOOSE(MATCH($C$15,{"Bear";"Base";"Bull"},0),Сценарии!$P$45,Сценарии!$P$62,Сценарии!$P$79)</f>
        <v>63677.886969989457</v>
      </c>
      <c r="R28" s="119">
        <f>CHOOSE(MATCH($C$15,{"Bear";"Base";"Bull"},0),Сценарии!$Q$45,Сценарии!$Q$62,Сценарии!$Q$79)</f>
        <v>76633.453867714794</v>
      </c>
      <c r="S28" s="119">
        <f>CHOOSE(MATCH($C$15,{"Bear";"Base";"Bull"},0),Сценарии!$R$45,Сценарии!$R$62,Сценарии!$R$79)</f>
        <v>91059.145653600062</v>
      </c>
      <c r="T28" s="119">
        <f>CHOOSE(MATCH($C$15,{"Bear";"Base";"Bull"},0),Сценарии!$S$45,Сценарии!$S$62,Сценарии!$S$79)</f>
        <v>107089.25261071272</v>
      </c>
      <c r="U28" s="119">
        <f>CHOOSE(MATCH($C$15,{"Bear";"Base";"Bull"},0),Сценарии!$T$45,Сценарии!$T$62,Сценарии!$T$79)</f>
        <v>124885.41017317094</v>
      </c>
      <c r="V28" s="119">
        <f>CHOOSE(MATCH($C$15,{"Bear";"Base";"Bull"},0),Сценарии!$U$45,Сценарии!$U$62,Сценарии!$U$79)</f>
        <v>144637.66819324126</v>
      </c>
      <c r="W28" s="119">
        <f>CHOOSE(MATCH($C$15,{"Bear";"Base";"Bull"},0),Сценарии!$V$45,Сценарии!$V$62,Сценарии!$V$79)</f>
        <v>166566.08769931932</v>
      </c>
      <c r="X28" s="119">
        <f>CHOOSE(MATCH($C$15,{"Bear";"Base";"Bull"},0),Сценарии!$W$45,Сценарии!$W$62,Сценарии!$W$79)</f>
        <v>190922.85879057623</v>
      </c>
      <c r="Y28" s="119">
        <f>CHOOSE(MATCH($C$15,{"Bear";"Base";"Bull"},0),Сценарии!$X$45,Сценарии!$X$62,Сценарии!$X$79)</f>
        <v>217994.94453317893</v>
      </c>
      <c r="Z28" s="119">
        <f>CHOOSE(MATCH($C$15,{"Bear";"Base";"Bull"},0),Сценарии!$Y$45,Сценарии!$Y$62,Сценарии!$Y$79)</f>
        <v>248107.26624043117</v>
      </c>
      <c r="AA28" s="119">
        <f>CHOOSE(MATCH($C$15,{"Bear";"Base";"Bull"},0),Сценарии!$Z$45,Сценарии!$Z$62,Сценарии!$Z$79)</f>
        <v>281626.4555997625</v>
      </c>
    </row>
    <row r="29" spans="2:29" ht="15" customHeight="1" x14ac:dyDescent="0.2">
      <c r="B29" s="117" t="s">
        <v>329</v>
      </c>
      <c r="C29" s="118">
        <f t="shared" ref="C29:AA29" si="0">-$C$12</f>
        <v>-5000</v>
      </c>
      <c r="D29" s="118">
        <f t="shared" si="0"/>
        <v>-5000</v>
      </c>
      <c r="E29" s="118">
        <f t="shared" si="0"/>
        <v>-5000</v>
      </c>
      <c r="F29" s="118">
        <f t="shared" si="0"/>
        <v>-5000</v>
      </c>
      <c r="G29" s="118">
        <f t="shared" si="0"/>
        <v>-5000</v>
      </c>
      <c r="H29" s="118">
        <f t="shared" si="0"/>
        <v>-5000</v>
      </c>
      <c r="I29" s="118">
        <f t="shared" si="0"/>
        <v>-5000</v>
      </c>
      <c r="J29" s="118">
        <f t="shared" si="0"/>
        <v>-5000</v>
      </c>
      <c r="K29" s="118">
        <f t="shared" si="0"/>
        <v>-5000</v>
      </c>
      <c r="L29" s="118">
        <f t="shared" si="0"/>
        <v>-5000</v>
      </c>
      <c r="M29" s="118">
        <f t="shared" si="0"/>
        <v>-5000</v>
      </c>
      <c r="N29" s="118">
        <f t="shared" si="0"/>
        <v>-5000</v>
      </c>
      <c r="O29" s="118">
        <f t="shared" si="0"/>
        <v>-5000</v>
      </c>
      <c r="P29" s="118">
        <f t="shared" si="0"/>
        <v>-5000</v>
      </c>
      <c r="Q29" s="118">
        <f t="shared" si="0"/>
        <v>-5000</v>
      </c>
      <c r="R29" s="118">
        <f t="shared" si="0"/>
        <v>-5000</v>
      </c>
      <c r="S29" s="118">
        <f t="shared" si="0"/>
        <v>-5000</v>
      </c>
      <c r="T29" s="118">
        <f t="shared" si="0"/>
        <v>-5000</v>
      </c>
      <c r="U29" s="118">
        <f t="shared" si="0"/>
        <v>-5000</v>
      </c>
      <c r="V29" s="118">
        <f t="shared" si="0"/>
        <v>-5000</v>
      </c>
      <c r="W29" s="118">
        <f t="shared" si="0"/>
        <v>-5000</v>
      </c>
      <c r="X29" s="118">
        <f t="shared" si="0"/>
        <v>-5000</v>
      </c>
      <c r="Y29" s="118">
        <f t="shared" si="0"/>
        <v>-5000</v>
      </c>
      <c r="Z29" s="118">
        <f t="shared" si="0"/>
        <v>-5000</v>
      </c>
      <c r="AA29" s="118">
        <f t="shared" si="0"/>
        <v>-5000</v>
      </c>
    </row>
    <row r="30" spans="2:29" ht="15" customHeight="1" x14ac:dyDescent="0.2">
      <c r="B30" s="117" t="s">
        <v>330</v>
      </c>
      <c r="C30" s="118">
        <f>IF(0&lt;$C$13,-$C$10/$C$13,0)</f>
        <v>-25000</v>
      </c>
      <c r="D30" s="118">
        <f>IF(1&lt;$C$13,-$C$10/$C$13,0)</f>
        <v>-25000</v>
      </c>
      <c r="E30" s="118">
        <f>IF(2&lt;$C$13,-$C$10/$C$13,0)</f>
        <v>0</v>
      </c>
      <c r="F30" s="118">
        <f>IF(3&lt;$C$13,-$C$10/$C$13,0)</f>
        <v>0</v>
      </c>
      <c r="G30" s="118">
        <f>IF(4&lt;$C$13,-$C$10/$C$13,0)</f>
        <v>0</v>
      </c>
      <c r="H30" s="118">
        <f>IF(5&lt;$C$13,-$C$10/$C$13,0)</f>
        <v>0</v>
      </c>
      <c r="I30" s="118">
        <f>IF(6&lt;$C$13,-$C$10/$C$13,0)</f>
        <v>0</v>
      </c>
      <c r="J30" s="118">
        <f>IF(7&lt;$C$13,-$C$10/$C$13,0)</f>
        <v>0</v>
      </c>
      <c r="K30" s="118">
        <f>IF(8&lt;$C$13,-$C$10/$C$13,0)</f>
        <v>0</v>
      </c>
      <c r="L30" s="118">
        <f>IF(9&lt;$C$13,-$C$10/$C$13,0)</f>
        <v>0</v>
      </c>
      <c r="M30" s="118">
        <f>IF(10&lt;$C$13,-$C$10/$C$13,0)</f>
        <v>0</v>
      </c>
      <c r="N30" s="118">
        <f>IF(11&lt;$C$13,-$C$10/$C$13,0)</f>
        <v>0</v>
      </c>
      <c r="O30" s="118">
        <f>IF(12&lt;$C$13,-$C$10/$C$13,0)</f>
        <v>0</v>
      </c>
      <c r="P30" s="118">
        <f>IF(13&lt;$C$13,-$C$10/$C$13,0)</f>
        <v>0</v>
      </c>
      <c r="Q30" s="118">
        <f>IF(14&lt;$C$13,-$C$10/$C$13,0)</f>
        <v>0</v>
      </c>
      <c r="R30" s="118">
        <f>IF(15&lt;$C$13,-$C$10/$C$13,0)</f>
        <v>0</v>
      </c>
      <c r="S30" s="118">
        <f>IF(16&lt;$C$13,-$C$10/$C$13,0)</f>
        <v>0</v>
      </c>
      <c r="T30" s="118">
        <f>IF(17&lt;$C$13,-$C$10/$C$13,0)</f>
        <v>0</v>
      </c>
      <c r="U30" s="118">
        <f>IF(18&lt;$C$13,-$C$10/$C$13,0)</f>
        <v>0</v>
      </c>
      <c r="V30" s="118">
        <f>IF(19&lt;$C$13,-$C$10/$C$13,0)</f>
        <v>0</v>
      </c>
      <c r="W30" s="118">
        <f>IF(20&lt;$C$13,-$C$10/$C$13,0)</f>
        <v>0</v>
      </c>
      <c r="X30" s="118">
        <f>IF(21&lt;$C$13,-$C$10/$C$13,0)</f>
        <v>0</v>
      </c>
      <c r="Y30" s="118">
        <f>IF(22&lt;$C$13,-$C$10/$C$13,0)</f>
        <v>0</v>
      </c>
      <c r="Z30" s="118">
        <f>IF(23&lt;$C$13,-$C$10/$C$13,0)</f>
        <v>0</v>
      </c>
      <c r="AA30" s="118">
        <f>IF(24&lt;$C$13,-$C$10/$C$13,0)</f>
        <v>0</v>
      </c>
    </row>
    <row r="31" spans="2:29" ht="15" customHeight="1" x14ac:dyDescent="0.2">
      <c r="B31" s="104" t="s">
        <v>331</v>
      </c>
      <c r="C31" s="105">
        <f t="shared" ref="C31:AA31" si="1">C28+C29+C30</f>
        <v>-30000</v>
      </c>
      <c r="D31" s="105">
        <f t="shared" si="1"/>
        <v>-30462.056</v>
      </c>
      <c r="E31" s="105">
        <f t="shared" si="1"/>
        <v>-4802.4993200000008</v>
      </c>
      <c r="F31" s="105">
        <f t="shared" si="1"/>
        <v>-3799.0775444000001</v>
      </c>
      <c r="G31" s="105">
        <f t="shared" si="1"/>
        <v>-2393.3124931480015</v>
      </c>
      <c r="H31" s="105">
        <f t="shared" si="1"/>
        <v>-500.13143574516289</v>
      </c>
      <c r="I31" s="105">
        <f t="shared" si="1"/>
        <v>1998.4628494557837</v>
      </c>
      <c r="J31" s="105">
        <f t="shared" si="1"/>
        <v>5608.37059935252</v>
      </c>
      <c r="K31" s="105">
        <f t="shared" si="1"/>
        <v>9953.8850511700875</v>
      </c>
      <c r="L31" s="105">
        <f t="shared" si="1"/>
        <v>15118.917006241696</v>
      </c>
      <c r="M31" s="105">
        <f t="shared" si="1"/>
        <v>21213.192617916069</v>
      </c>
      <c r="N31" s="105">
        <f t="shared" si="1"/>
        <v>28374.894181109601</v>
      </c>
      <c r="O31" s="105">
        <f t="shared" si="1"/>
        <v>36774.131467293671</v>
      </c>
      <c r="P31" s="105">
        <f t="shared" si="1"/>
        <v>47084.976627598116</v>
      </c>
      <c r="Q31" s="105">
        <f t="shared" si="1"/>
        <v>58677.886969989457</v>
      </c>
      <c r="R31" s="105">
        <f t="shared" si="1"/>
        <v>71633.453867714794</v>
      </c>
      <c r="S31" s="105">
        <f t="shared" si="1"/>
        <v>86059.145653600062</v>
      </c>
      <c r="T31" s="105">
        <f t="shared" si="1"/>
        <v>102089.25261071272</v>
      </c>
      <c r="U31" s="105">
        <f t="shared" si="1"/>
        <v>119885.41017317094</v>
      </c>
      <c r="V31" s="105">
        <f t="shared" si="1"/>
        <v>139637.66819324126</v>
      </c>
      <c r="W31" s="105">
        <f t="shared" si="1"/>
        <v>161566.08769931932</v>
      </c>
      <c r="X31" s="105">
        <f t="shared" si="1"/>
        <v>185922.85879057623</v>
      </c>
      <c r="Y31" s="105">
        <f t="shared" si="1"/>
        <v>212994.94453317893</v>
      </c>
      <c r="Z31" s="105">
        <f t="shared" si="1"/>
        <v>243107.26624043117</v>
      </c>
      <c r="AA31" s="105">
        <f t="shared" si="1"/>
        <v>276626.4555997625</v>
      </c>
    </row>
    <row r="32" spans="2:29" ht="15" customHeight="1" x14ac:dyDescent="0.2">
      <c r="B32" s="104" t="s">
        <v>332</v>
      </c>
      <c r="C32" s="120">
        <f>C31</f>
        <v>-30000</v>
      </c>
      <c r="D32" s="120">
        <f t="shared" ref="D32:AA32" si="2">C32+D31</f>
        <v>-60462.055999999997</v>
      </c>
      <c r="E32" s="120">
        <f t="shared" si="2"/>
        <v>-65264.555319999999</v>
      </c>
      <c r="F32" s="120">
        <f t="shared" si="2"/>
        <v>-69063.632864400002</v>
      </c>
      <c r="G32" s="120">
        <f t="shared" si="2"/>
        <v>-71456.945357548</v>
      </c>
      <c r="H32" s="120">
        <f t="shared" si="2"/>
        <v>-71957.076793293163</v>
      </c>
      <c r="I32" s="120">
        <f t="shared" si="2"/>
        <v>-69958.613943837379</v>
      </c>
      <c r="J32" s="120">
        <f t="shared" si="2"/>
        <v>-64350.243344484858</v>
      </c>
      <c r="K32" s="120">
        <f t="shared" si="2"/>
        <v>-54396.35829331477</v>
      </c>
      <c r="L32" s="120">
        <f t="shared" si="2"/>
        <v>-39277.441287073074</v>
      </c>
      <c r="M32" s="120">
        <f t="shared" si="2"/>
        <v>-18064.248669157005</v>
      </c>
      <c r="N32" s="120">
        <f t="shared" si="2"/>
        <v>10310.645511952596</v>
      </c>
      <c r="O32" s="120">
        <f t="shared" si="2"/>
        <v>47084.776979246264</v>
      </c>
      <c r="P32" s="120">
        <f t="shared" si="2"/>
        <v>94169.753606844373</v>
      </c>
      <c r="Q32" s="120">
        <f t="shared" si="2"/>
        <v>152847.64057683383</v>
      </c>
      <c r="R32" s="120">
        <f t="shared" si="2"/>
        <v>224481.09444454862</v>
      </c>
      <c r="S32" s="120">
        <f t="shared" si="2"/>
        <v>310540.2400981487</v>
      </c>
      <c r="T32" s="120">
        <f t="shared" si="2"/>
        <v>412629.49270886142</v>
      </c>
      <c r="U32" s="120">
        <f t="shared" si="2"/>
        <v>532514.90288203233</v>
      </c>
      <c r="V32" s="120">
        <f t="shared" si="2"/>
        <v>672152.57107527356</v>
      </c>
      <c r="W32" s="120">
        <f t="shared" si="2"/>
        <v>833718.65877459291</v>
      </c>
      <c r="X32" s="120">
        <f t="shared" si="2"/>
        <v>1019641.5175651691</v>
      </c>
      <c r="Y32" s="120">
        <f t="shared" si="2"/>
        <v>1232636.462098348</v>
      </c>
      <c r="Z32" s="120">
        <f t="shared" si="2"/>
        <v>1475743.7283387792</v>
      </c>
      <c r="AA32" s="120">
        <f t="shared" si="2"/>
        <v>1752370.1839385417</v>
      </c>
    </row>
    <row r="52" spans="2:5" ht="18" x14ac:dyDescent="0.2">
      <c r="B52" s="121" t="s">
        <v>333</v>
      </c>
      <c r="C52" s="100"/>
      <c r="D52" s="100"/>
      <c r="E52" s="100"/>
    </row>
    <row r="53" spans="2:5" x14ac:dyDescent="0.2">
      <c r="B53" s="122" t="s">
        <v>144</v>
      </c>
      <c r="C53" s="123" t="s">
        <v>242</v>
      </c>
      <c r="D53" s="124" t="s">
        <v>243</v>
      </c>
      <c r="E53" s="125" t="s">
        <v>244</v>
      </c>
    </row>
    <row r="54" spans="2:5" x14ac:dyDescent="0.2">
      <c r="B54" s="126" t="s">
        <v>334</v>
      </c>
      <c r="C54" s="127">
        <f>Сценарии!$C$26</f>
        <v>136905.72388034084</v>
      </c>
      <c r="D54" s="128">
        <f>Сценарии!$D$26</f>
        <v>1927370.1839385417</v>
      </c>
      <c r="E54" s="129">
        <f>Сценарии!$E$26</f>
        <v>7202769.0005471157</v>
      </c>
    </row>
    <row r="55" spans="2:5" x14ac:dyDescent="0.2">
      <c r="B55" s="126" t="s">
        <v>335</v>
      </c>
      <c r="C55" s="127">
        <f>-$C$12*25</f>
        <v>-125000</v>
      </c>
      <c r="D55" s="128">
        <f>-$C$12*25</f>
        <v>-125000</v>
      </c>
      <c r="E55" s="129">
        <f>-$C$12*25</f>
        <v>-125000</v>
      </c>
    </row>
    <row r="56" spans="2:5" x14ac:dyDescent="0.2">
      <c r="B56" s="126" t="s">
        <v>336</v>
      </c>
      <c r="C56" s="127">
        <f>-$C$10</f>
        <v>-50000</v>
      </c>
      <c r="D56" s="128">
        <f>-$C$10</f>
        <v>-50000</v>
      </c>
      <c r="E56" s="129">
        <f>-$C$10</f>
        <v>-50000</v>
      </c>
    </row>
    <row r="57" spans="2:5" x14ac:dyDescent="0.2">
      <c r="B57" s="126" t="s">
        <v>337</v>
      </c>
      <c r="C57" s="127">
        <f>Сценарии!$C$26-$C$12*25-$C$10</f>
        <v>-38094.27611965916</v>
      </c>
      <c r="D57" s="128">
        <f>Сценарии!$D$26-$C$12*25-$C$10</f>
        <v>1752370.1839385417</v>
      </c>
      <c r="E57" s="129">
        <f>Сценарии!$E$26-$C$12*25-$C$10</f>
        <v>7027769.0005471157</v>
      </c>
    </row>
    <row r="58" spans="2:5" x14ac:dyDescent="0.2">
      <c r="B58" s="126" t="s">
        <v>338</v>
      </c>
      <c r="C58" s="127">
        <f>Сценарии!$C$29</f>
        <v>-16561.40313038828</v>
      </c>
      <c r="D58" s="128">
        <f>Сценарии!$D$29</f>
        <v>-462.05600000000004</v>
      </c>
      <c r="E58" s="129">
        <f>Сценарии!$E$29</f>
        <v>768.52560000000017</v>
      </c>
    </row>
    <row r="59" spans="2:5" x14ac:dyDescent="0.2">
      <c r="B59" s="126" t="s">
        <v>339</v>
      </c>
      <c r="C59" s="127">
        <f>MAX(0,$C$10+$C$12*25-Сценарии!$C$26)</f>
        <v>38094.27611965916</v>
      </c>
      <c r="D59" s="128">
        <f>MAX(0,$C$10+$C$12*25-Сценарии!$D$26)</f>
        <v>0</v>
      </c>
      <c r="E59" s="129">
        <f>MAX(0,$C$10+$C$12*25-Сценарии!$E$26)</f>
        <v>0</v>
      </c>
    </row>
    <row r="60" spans="2:5" x14ac:dyDescent="0.2">
      <c r="B60" s="130" t="s">
        <v>340</v>
      </c>
    </row>
  </sheetData>
  <dataValidations count="1">
    <dataValidation type="list" sqref="C15" xr:uid="{00000000-0002-0000-0600-000000000000}">
      <formula1>"Bear,Base,Bull"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README</vt:lpstr>
      <vt:lpstr>Допущения</vt:lpstr>
      <vt:lpstr>Unit-экономика</vt:lpstr>
      <vt:lpstr>Когортная модель</vt:lpstr>
      <vt:lpstr>Графики</vt:lpstr>
      <vt:lpstr>Сценарии</vt:lpstr>
      <vt:lpstr>Cash 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My+Office</cp:lastModifiedBy>
  <cp:revision>13</cp:revision>
  <dcterms:created xsi:type="dcterms:W3CDTF">2026-05-14T08:08:51Z</dcterms:created>
  <dcterms:modified xsi:type="dcterms:W3CDTF">2026-05-14T09:36:04Z</dcterms:modified>
  <dc:language>en-US</dc:language>
</cp:coreProperties>
</file>